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elta.corp\dgfiles\files\DG7RoHS\内部公用资料\冲突矿物调查资料\"/>
    </mc:Choice>
  </mc:AlternateContent>
  <workbookProtection workbookAlgorithmName="SHA-512" workbookHashValue="FDm0YVlRHuvuR7ASQJ7z4n/c8bI9AuIKyHf8ujFWtWUkp7+Xm6/f03FyvVRZ4GAgW7GEWKWltQSnVHknWKh2BA==" workbookSaltValue="EX+GsGCD48ANiKbfOQgmtw==" workbookSpinCount="100000" lockStructure="1"/>
  <bookViews>
    <workbookView xWindow="0" yWindow="0" windowWidth="24000" windowHeight="92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V39" i="5"/>
  <c r="V38" i="5"/>
  <c r="V37" i="5"/>
  <c r="R37" i="5" s="1"/>
  <c r="V36" i="5"/>
  <c r="R36" i="5" s="1"/>
  <c r="T36" i="5"/>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20" i="5"/>
  <c r="S38" i="5"/>
  <c r="T28" i="5"/>
  <c r="S22" i="5"/>
  <c r="T33" i="5"/>
  <c r="T37" i="5"/>
  <c r="T26" i="5"/>
  <c r="S34" i="5"/>
  <c r="T19" i="5"/>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X26"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c r="X35" i="5"/>
  <c r="R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X27" i="5"/>
  <c r="R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X249" i="5" s="1"/>
  <c r="F249"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H46" i="5"/>
  <c r="H62"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X23" i="5"/>
  <c r="AB26" i="5"/>
  <c r="X39" i="5"/>
  <c r="I46" i="5"/>
  <c r="AB22" i="5"/>
  <c r="R25" i="5"/>
  <c r="X38"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E49" i="5"/>
  <c r="X49" i="5" s="1"/>
  <c r="I50" i="5"/>
  <c r="E65" i="5"/>
  <c r="X65" i="5" s="1"/>
  <c r="I66" i="5"/>
  <c r="S72" i="5"/>
  <c r="E81" i="5"/>
  <c r="X81" i="5" s="1"/>
  <c r="I82" i="5"/>
  <c r="S88"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X20" i="5"/>
  <c r="AB20" i="5"/>
  <c r="R21" i="5"/>
  <c r="AB28" i="5"/>
  <c r="R29" i="5"/>
  <c r="AB34"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T18" i="5"/>
  <c r="AB21" i="5"/>
  <c r="AB29" i="5"/>
  <c r="T29" i="5"/>
  <c r="AB35" i="5"/>
  <c r="T35" i="5"/>
  <c r="AB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S109" i="5"/>
  <c r="AB109" i="5"/>
  <c r="E117" i="5"/>
  <c r="X117" i="5" s="1"/>
  <c r="J121" i="5"/>
  <c r="I121" i="5"/>
  <c r="H121" i="5"/>
  <c r="S141" i="5"/>
  <c r="AB141" i="5"/>
  <c r="H146" i="5"/>
  <c r="F150" i="5"/>
  <c r="R150" i="5"/>
  <c r="J150" i="5"/>
  <c r="AB19" i="5"/>
  <c r="X21" i="5"/>
  <c r="AB27" i="5"/>
  <c r="S27" i="5"/>
  <c r="T27" i="5"/>
  <c r="X29" i="5"/>
  <c r="T22" i="5"/>
  <c r="X24" i="5"/>
  <c r="R28" i="5"/>
  <c r="X32" i="5"/>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X22" i="5"/>
  <c r="R23" i="5"/>
  <c r="R26" i="5"/>
  <c r="X30" i="5"/>
  <c r="R31" i="5"/>
  <c r="X36"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32" i="5"/>
  <c r="S21" i="5"/>
  <c r="T34" i="5"/>
  <c r="T30" i="5"/>
  <c r="S28" i="5"/>
  <c r="S23" i="5"/>
  <c r="S24" i="5"/>
  <c r="S20" i="5"/>
  <c r="T38" i="5"/>
  <c r="S35" i="5"/>
  <c r="S31" i="5"/>
  <c r="T5" i="5"/>
  <c r="S26" i="5"/>
  <c r="S37" i="5"/>
  <c r="S18" i="5"/>
  <c r="T21" i="5"/>
  <c r="S33" i="5"/>
  <c r="S25" i="5"/>
  <c r="S29" i="5"/>
  <c r="S36" i="5"/>
  <c r="S19" i="5"/>
  <c r="S30" i="5"/>
  <c r="T31" i="5"/>
  <c r="T6" i="5"/>
  <c r="S39" i="5"/>
  <c r="T25" i="5"/>
  <c r="C12" i="6" l="1"/>
  <c r="C7" i="6"/>
  <c r="C9" i="6"/>
  <c r="C11" i="6"/>
  <c r="B32" i="6"/>
  <c r="C8" i="6"/>
  <c r="C4" i="6"/>
  <c r="C10"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9" i="5"/>
  <c r="T17" i="5"/>
  <c r="T8" i="5"/>
  <c r="T7" i="5"/>
  <c r="T15" i="5"/>
  <c r="T10" i="5"/>
  <c r="T12" i="5"/>
  <c r="T13" i="5"/>
  <c r="T14" i="5"/>
  <c r="T11" i="5"/>
  <c r="T16" i="5"/>
  <c r="X13" i="5" l="1"/>
  <c r="X10" i="5"/>
  <c r="D65" i="6"/>
  <c r="X9" i="5"/>
  <c r="X12" i="5"/>
  <c r="X14" i="5"/>
  <c r="X17" i="5"/>
  <c r="D66" i="6"/>
  <c r="C67" i="6"/>
  <c r="X11" i="5"/>
  <c r="X15" i="5"/>
  <c r="X8" i="5"/>
  <c r="X7" i="5"/>
  <c r="G69" i="6"/>
  <c r="H69" i="6" s="1"/>
  <c r="H70" i="6" s="1"/>
  <c r="D2" i="6" s="1"/>
  <c r="X16" i="5"/>
  <c r="D55" i="6"/>
  <c r="C55" i="6"/>
  <c r="D56" i="6"/>
  <c r="C56" i="6"/>
  <c r="S12" i="5"/>
  <c r="S16" i="5"/>
  <c r="S7" i="5"/>
  <c r="S11" i="5"/>
  <c r="S9" i="5"/>
  <c r="S10" i="5"/>
  <c r="S13" i="5"/>
  <c r="S15" i="5"/>
  <c r="S14" i="5"/>
  <c r="S17" i="5"/>
  <c r="S8"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<sst xmlns="http://schemas.openxmlformats.org/spreadsheetml/2006/main" count="22364" uniqueCount="15719">
  <si>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</si>
  <si>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</si>
  <si>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</si>
  <si>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</si>
  <si>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</si>
  <si>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</si>
  <si>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</si>
  <si>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</si>
  <si>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</si>
  <si>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</si>
  <si>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</si>
  <si>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</si>
  <si>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</si>
  <si>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</si>
  <si>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</si>
  <si>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</si>
  <si>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</si>
  <si>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</si>
  <si>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</si>
  <si>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</si>
  <si>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</si>
  <si>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</si>
  <si>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</si>
  <si>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</si>
  <si>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</si>
  <si>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</si>
  <si>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</si>
  <si>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</si>
  <si>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</si>
  <si>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</si>
  <si>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</si>
  <si>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</si>
  <si>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</si>
  <si>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</si>
  <si>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</si>
  <si>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</si>
  <si>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</si>
  <si>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</si>
  <si>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</si>
  <si>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</si>
  <si>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</si>
  <si>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</si>
  <si>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</si>
  <si>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</si>
  <si>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</si>
  <si>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</si>
  <si>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</si>
  <si>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</si>
  <si>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</si>
  <si>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</si>
  <si>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</si>
  <si>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</si>
  <si>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</si>
  <si>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</si>
  <si>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</si>
  <si>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</si>
  <si>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</si>
  <si>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</si>
  <si>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</si>
  <si>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</si>
  <si>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</si>
  <si>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</si>
  <si>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</si>
  <si>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</si>
  <si>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</si>
  <si>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</si>
  <si>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</si>
  <si>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</si>
  <si>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</si>
  <si>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</si>
  <si>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</si>
  <si>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</si>
  <si>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</si>
  <si>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</si>
  <si>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</si>
  <si>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</si>
  <si>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</si>
  <si>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</si>
  <si>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</si>
  <si>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</si>
  <si>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</si>
  <si>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</si>
  <si>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</si>
  <si>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</si>
  <si>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</si>
  <si>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</si>
  <si>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</si>
  <si>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</si>
  <si>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</si>
  <si>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</si>
  <si>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</si>
  <si>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</si>
  <si>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</si>
  <si>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</si>
  <si>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</si>
  <si>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</si>
  <si>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</si>
  <si>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</si>
  <si>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</si>
  <si>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</si>
  <si>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</si>
  <si>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</si>
  <si>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</si>
  <si>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</si>
  <si>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</si>
  <si>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</si>
  <si>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</si>
  <si>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</si>
  <si>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</si>
  <si>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</si>
  <si>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</si>
  <si>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</si>
  <si>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</si>
  <si>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</si>
  <si>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</si>
  <si>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</si>
  <si>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</si>
  <si>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</si>
  <si>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</si>
  <si>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</si>
  <si>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</si>
  <si>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</si>
  <si>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</si>
  <si>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</si>
  <si>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</si>
  <si>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</si>
  <si>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</si>
  <si>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</si>
  <si>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</si>
  <si>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</si>
  <si>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</si>
  <si>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</si>
  <si>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</si>
  <si>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</si>
  <si>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</si>
  <si>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</si>
  <si>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</si>
  <si>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</si>
  <si>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</si>
  <si>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</si>
  <si>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</si>
  <si>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</si>
  <si>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</si>
  <si>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</si>
  <si>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</si>
  <si>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</si>
  <si>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</si>
  <si>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</si>
  <si>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</si>
  <si>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</si>
  <si>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</si>
  <si>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</si>
  <si>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</si>
  <si>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</si>
  <si>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</si>
  <si>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</si>
  <si>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</si>
  <si>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</si>
  <si>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</si>
  <si>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</si>
  <si>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</si>
  <si>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</si>
  <si>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</si>
  <si>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</si>
  <si>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</si>
  <si>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</si>
  <si>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</si>
  <si>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</si>
  <si>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</si>
  <si>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</si>
  <si>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</si>
  <si>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</si>
  <si>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</si>
  <si>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</si>
  <si>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</si>
  <si>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</si>
  <si>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</si>
  <si>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</si>
  <si>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</si>
  <si>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</si>
  <si>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</si>
  <si>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</si>
  <si>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</si>
  <si>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</si>
  <si>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</si>
  <si>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</si>
  <si>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</si>
  <si>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</si>
  <si>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</si>
  <si>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</si>
  <si>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</si>
  <si>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</si>
  <si>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</si>
  <si>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</si>
  <si>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</si>
  <si>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</si>
  <si>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</si>
  <si>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</si>
  <si>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</si>
  <si>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</si>
  <si>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</si>
  <si>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</si>
  <si>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</si>
  <si>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</si>
  <si>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</si>
  <si>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</si>
  <si>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</si>
  <si>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</si>
  <si>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</si>
  <si>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</si>
  <si>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</si>
  <si>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</si>
  <si>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</si>
  <si>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</si>
  <si>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</si>
  <si>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</si>
  <si>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</si>
  <si>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</si>
  <si>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</si>
  <si>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</si>
  <si>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</si>
  <si>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</si>
  <si>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</si>
  <si>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</si>
  <si>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</si>
  <si>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</si>
  <si>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</si>
  <si>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</si>
  <si>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</si>
  <si>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</si>
  <si>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</si>
  <si>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</si>
  <si>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</si>
  <si>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</si>
  <si>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</si>
  <si>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</si>
  <si>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</si>
  <si>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</si>
  <si>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</si>
  <si>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</si>
  <si>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</si>
  <si>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</si>
  <si>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</si>
  <si>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</si>
  <si>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</si>
  <si>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</si>
  <si>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</si>
  <si>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</si>
  <si>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</si>
  <si>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</si>
  <si>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</si>
  <si>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</si>
  <si>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</si>
  <si>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</si>
  <si>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</si>
  <si>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</si>
  <si>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</si>
  <si>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</si>
  <si>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</si>
  <si>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</si>
  <si>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</si>
  <si>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</si>
  <si>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</si>
  <si>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</si>
  <si>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</si>
  <si>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</si>
  <si>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</si>
  <si>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</si>
  <si>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</si>
  <si>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</si>
  <si>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</si>
  <si>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</si>
  <si>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</si>
  <si>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</si>
  <si>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</si>
  <si>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</si>
  <si>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</si>
  <si>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</si>
  <si>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</si>
  <si>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</si>
  <si>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</si>
  <si>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</si>
  <si>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</si>
  <si>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</si>
  <si>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</si>
  <si>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</si>
  <si>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</si>
  <si>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</si>
  <si>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</si>
  <si>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</si>
  <si>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</si>
  <si>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</si>
  <si>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</si>
  <si>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</si>
  <si>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</si>
  <si>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</si>
  <si>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</si>
  <si>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</si>
  <si>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</si>
  <si>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</si>
  <si>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</si>
  <si>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</si>
  <si>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</si>
  <si>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</si>
  <si>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</si>
  <si>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</si>
  <si>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</si>
  <si>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</si>
  <si>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</si>
  <si>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</si>
  <si>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</si>
  <si>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</si>
  <si>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</si>
  <si>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</si>
  <si>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</si>
  <si>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</si>
  <si>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</si>
  <si>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</si>
  <si>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</si>
  <si>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</si>
  <si>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</si>
  <si>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</si>
  <si>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</si>
  <si>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</si>
  <si>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</si>
  <si>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</si>
  <si>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</si>
  <si>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</si>
  <si>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</si>
  <si>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</si>
  <si>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</si>
  <si>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</si>
  <si>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</si>
  <si>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</si>
  <si>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</si>
  <si>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</si>
  <si>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</si>
  <si>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</si>
  <si>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</si>
  <si>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</si>
  <si>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</si>
  <si>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</si>
  <si>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</si>
  <si>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</si>
  <si>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</si>
  <si>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</si>
  <si>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</si>
  <si>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</si>
  <si>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</si>
  <si>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</si>
  <si>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</si>
  <si>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</si>
  <si>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</si>
  <si>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</si>
  <si>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</si>
  <si>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</si>
  <si>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</si>
  <si>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</si>
  <si>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</si>
  <si>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</si>
  <si>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</si>
  <si>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</si>
  <si>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</si>
  <si>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</si>
  <si>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</si>
  <si>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</si>
  <si>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</si>
  <si>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</si>
  <si>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</si>
  <si>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</si>
  <si>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</si>
  <si>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</si>
  <si>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</si>
  <si>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</si>
  <si>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</si>
  <si>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</si>
  <si>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</si>
  <si>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</si>
  <si>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</si>
  <si>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</si>
  <si>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</si>
  <si>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</si>
  <si>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</si>
  <si>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</si>
  <si>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</si>
  <si>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</si>
  <si>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</si>
  <si>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</si>
  <si>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</si>
  <si>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</si>
  <si>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</si>
  <si>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</si>
  <si>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</si>
  <si>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</si>
  <si>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</si>
  <si>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</si>
  <si>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</si>
  <si>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</si>
  <si>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</si>
  <si>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</si>
  <si>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</si>
  <si>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</si>
  <si>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</si>
  <si>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</si>
  <si>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</si>
  <si>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</si>
  <si>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</si>
  <si>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</si>
  <si>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</si>
  <si>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</si>
  <si>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</si>
  <si>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</si>
  <si>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</si>
  <si>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</si>
  <si>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</si>
  <si>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</si>
  <si>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</si>
  <si>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</si>
  <si>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</si>
  <si>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</si>
  <si>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</si>
  <si>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</si>
  <si>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</si>
  <si>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</si>
  <si>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</si>
  <si>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</si>
  <si>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</si>
  <si>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</si>
  <si>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</si>
  <si>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</si>
  <si>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</si>
  <si>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</si>
  <si>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</si>
  <si>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</si>
  <si>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</si>
  <si>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</si>
  <si>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</si>
  <si>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</si>
  <si>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</si>
  <si>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</si>
  <si>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</si>
  <si>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</si>
  <si>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</si>
  <si>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</si>
  <si>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</si>
  <si>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</si>
  <si>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</si>
  <si>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</si>
  <si>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</si>
  <si>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</si>
  <si>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</si>
  <si>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</si>
  <si>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</si>
  <si>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</si>
  <si>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</si>
  <si>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</si>
  <si>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</si>
  <si>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</si>
  <si>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</si>
  <si>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</si>
  <si>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</si>
  <si>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</si>
  <si>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</si>
  <si>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</si>
  <si>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</si>
  <si>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</si>
  <si>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</si>
  <si>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</si>
  <si>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</si>
  <si>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</si>
  <si>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</si>
  <si>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</si>
  <si>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</si>
  <si>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</si>
  <si>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</si>
  <si>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</si>
  <si>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</si>
  <si>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</si>
  <si>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</si>
  <si>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</si>
  <si>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</si>
  <si>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</si>
  <si>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</si>
  <si>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</si>
  <si>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</si>
  <si>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</si>
  <si>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</si>
  <si>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</si>
  <si>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</si>
  <si>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</si>
  <si>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</si>
  <si>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</si>
  <si>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</si>
  <si>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</si>
  <si>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</si>
  <si>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</si>
  <si>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</si>
  <si>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</si>
  <si>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</si>
  <si>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</si>
  <si>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</si>
  <si>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</si>
  <si>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</si>
  <si>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</si>
  <si>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</si>
  <si>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</si>
  <si>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</si>
  <si>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</si>
  <si>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</si>
  <si>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</si>
  <si>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</si>
  <si>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</si>
  <si>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</si>
  <si>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</si>
  <si>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</si>
  <si>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</si>
  <si>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</si>
  <si>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</si>
  <si>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</si>
  <si>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</si>
  <si>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</si>
  <si>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</si>
  <si>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</si>
  <si>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</si>
  <si>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</si>
  <si>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</si>
  <si>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</si>
  <si>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</si>
  <si>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</si>
  <si>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</si>
  <si>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</si>
  <si>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</si>
  <si>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</si>
  <si>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</si>
  <si>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</si>
  <si>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</si>
  <si>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</si>
  <si>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</si>
  <si>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</si>
  <si>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</si>
  <si>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</si>
  <si>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</si>
  <si>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</si>
  <si>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</si>
  <si>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</si>
  <si>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</si>
  <si>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</si>
  <si>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</si>
  <si>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</si>
  <si>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</si>
  <si>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</si>
  <si>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</si>
  <si>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</si>
  <si>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</si>
  <si>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</si>
  <si>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</si>
  <si>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</si>
  <si>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</si>
  <si>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</si>
  <si>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</si>
  <si>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</si>
  <si>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</si>
  <si>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</si>
  <si>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</si>
  <si>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</si>
  <si>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</si>
  <si>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</si>
  <si>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</si>
  <si>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</si>
  <si>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</si>
  <si>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</si>
  <si>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</si>
  <si>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</si>
  <si>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</si>
  <si>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</si>
  <si>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</si>
  <si>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</si>
  <si>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</si>
  <si>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</si>
  <si>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</si>
  <si>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</si>
  <si>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</si>
  <si>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</si>
  <si>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</si>
  <si>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</si>
  <si>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</si>
  <si>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</si>
  <si>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</si>
  <si>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</si>
  <si>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</si>
  <si>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</si>
  <si>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</si>
  <si>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</si>
  <si>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</si>
  <si>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</si>
  <si>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</si>
  <si>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</si>
  <si>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</si>
  <si>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</si>
  <si>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</si>
  <si>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</si>
  <si>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</si>
  <si>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</si>
  <si>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</si>
  <si>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</si>
  <si>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</si>
  <si>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</si>
  <si>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</si>
  <si>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</si>
  <si>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</si>
  <si>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</si>
  <si>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</si>
  <si>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</si>
  <si>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</si>
  <si>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</si>
  <si>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</si>
  <si>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</si>
  <si>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</si>
  <si>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</si>
  <si>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</si>
  <si>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</si>
  <si>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</si>
  <si>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</si>
  <si>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</si>
  <si>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</si>
  <si>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</si>
  <si>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</si>
  <si>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</si>
  <si>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</si>
  <si>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</si>
  <si>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</si>
  <si>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</si>
  <si>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</si>
  <si>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</si>
  <si>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</si>
  <si>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</si>
  <si>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</si>
  <si>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</si>
  <si>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</si>
  <si>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</si>
  <si>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</si>
  <si>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</si>
  <si>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</si>
  <si>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</si>
  <si>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</si>
  <si>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</si>
  <si>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</si>
  <si>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</si>
  <si>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</si>
  <si>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</si>
  <si>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</si>
  <si>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</si>
  <si>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</si>
  <si>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</si>
  <si>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</si>
  <si>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</si>
  <si>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</si>
  <si>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</si>
  <si>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</si>
  <si>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</si>
  <si>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</si>
  <si>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</si>
  <si>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</si>
  <si>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</si>
  <si>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</si>
  <si>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</si>
  <si>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</si>
  <si>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</si>
  <si>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</si>
  <si>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</si>
  <si>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</si>
  <si>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</si>
  <si>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</si>
  <si>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</si>
  <si>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</si>
  <si>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</si>
  <si>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</si>
  <si>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</si>
  <si>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</si>
  <si>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</si>
  <si>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</si>
  <si>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</si>
  <si>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</si>
  <si>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</si>
  <si>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</si>
  <si>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</si>
  <si>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</si>
  <si>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</si>
  <si>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</si>
  <si>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</si>
  <si>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</si>
  <si>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</si>
  <si>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</si>
  <si>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</si>
  <si>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</si>
  <si>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</si>
  <si>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</si>
  <si>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</si>
  <si>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</si>
  <si>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</si>
  <si>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</si>
  <si>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</si>
  <si>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</si>
  <si>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</si>
  <si>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</si>
  <si>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</si>
  <si>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</si>
  <si>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</si>
  <si>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</si>
  <si>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</si>
  <si>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</si>
  <si>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</si>
  <si>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</si>
  <si>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</si>
  <si>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</si>
  <si>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</si>
  <si>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</si>
  <si>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</si>
  <si>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</si>
  <si>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</si>
  <si>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</si>
  <si>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</si>
  <si>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</si>
  <si>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</si>
  <si>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</si>
  <si>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</si>
  <si>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</si>
  <si>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</si>
  <si>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</si>
  <si>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</si>
  <si>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</si>
  <si>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</si>
  <si>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</si>
  <si>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</si>
  <si>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</si>
  <si>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</si>
  <si>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</si>
  <si>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</si>
  <si>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</si>
  <si>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</si>
  <si>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</si>
  <si>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</si>
  <si>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</si>
  <si>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</si>
  <si>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</si>
  <si>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</si>
  <si>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</si>
  <si>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</si>
  <si>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</si>
  <si>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</si>
  <si>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</si>
  <si>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</si>
  <si>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</si>
  <si>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</si>
  <si>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</si>
  <si>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</si>
  <si>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</si>
  <si>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</si>
  <si>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</si>
  <si>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</si>
  <si>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</si>
  <si>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</si>
  <si>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</si>
  <si>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</si>
  <si>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</si>
  <si>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</si>
  <si>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</si>
  <si>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</si>
  <si>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</si>
  <si>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</si>
  <si>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</si>
  <si>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</si>
  <si>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</si>
  <si>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</si>
  <si>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</si>
  <si>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</si>
  <si>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</si>
  <si>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</si>
  <si>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</si>
  <si>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</si>
  <si>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</si>
  <si>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</si>
  <si>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</si>
  <si>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</si>
  <si>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</si>
  <si>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</si>
  <si>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</si>
  <si>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</si>
  <si>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</si>
  <si>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</si>
  <si>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</si>
  <si>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</si>
  <si>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</si>
  <si>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</si>
  <si>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</si>
  <si>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</si>
  <si>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</si>
  <si>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</si>
  <si>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</si>
  <si>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</si>
  <si>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</si>
  <si>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</si>
  <si>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</si>
  <si>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</si>
  <si>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</si>
  <si>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</si>
  <si>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</si>
  <si>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</si>
  <si>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</si>
  <si>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</si>
  <si>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</si>
  <si>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</si>
  <si>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</si>
  <si>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</si>
  <si>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</si>
  <si>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</si>
  <si>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</si>
  <si>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</si>
  <si>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</si>
  <si>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</si>
  <si>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</si>
  <si>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</si>
  <si>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</si>
  <si>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</si>
  <si>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</si>
  <si>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</si>
  <si>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</si>
  <si>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</si>
  <si>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</si>
  <si>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</si>
  <si>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</si>
  <si>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</si>
  <si>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</si>
  <si>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</si>
  <si>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</si>
  <si>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</si>
  <si>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</si>
  <si>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</si>
  <si>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</si>
  <si>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</si>
  <si>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</si>
  <si>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</si>
  <si>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</si>
  <si>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</si>
  <si>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</si>
  <si>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</si>
  <si>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</si>
  <si>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</si>
  <si>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</si>
  <si>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</si>
  <si>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</si>
  <si>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</si>
  <si>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</si>
  <si>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</si>
  <si>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</si>
  <si>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</si>
  <si>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</si>
  <si>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</si>
  <si>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</si>
  <si>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</si>
  <si>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</si>
  <si>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</si>
  <si>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</si>
  <si>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</si>
  <si>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</si>
  <si>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</si>
  <si>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</si>
  <si>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</si>
  <si>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</si>
  <si>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</si>
  <si>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</si>
  <si>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</si>
  <si>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</si>
  <si>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</si>
  <si>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</si>
  <si>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</si>
  <si>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</si>
  <si>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</si>
  <si>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</si>
  <si>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</si>
  <si>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</si>
  <si>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</si>
  <si>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</si>
  <si>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</si>
  <si>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</si>
  <si>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</si>
  <si>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</si>
  <si>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</si>
  <si>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</si>
  <si>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</si>
  <si>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</si>
  <si>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</si>
  <si>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</si>
  <si>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</si>
  <si>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</si>
  <si>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</si>
  <si>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</si>
  <si>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</si>
  <si>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</si>
  <si>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</si>
  <si>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</si>
  <si>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</si>
  <si>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</si>
  <si>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</si>
  <si>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</si>
  <si>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</si>
  <si>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</si>
  <si>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</si>
  <si>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</si>
  <si>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</si>
  <si>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</si>
  <si>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</si>
  <si>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</si>
  <si>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</si>
  <si>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</si>
  <si>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</si>
  <si>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</si>
  <si>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</si>
  <si>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</si>
  <si>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</si>
  <si>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</si>
  <si>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</si>
  <si>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</si>
  <si>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</si>
  <si>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</si>
  <si>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</si>
  <si>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</si>
  <si>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</si>
  <si>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</si>
  <si>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</si>
  <si>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</si>
  <si>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</si>
  <si>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</si>
  <si>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</si>
  <si>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</si>
  <si>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</si>
  <si>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</si>
  <si>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</si>
  <si>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</si>
  <si>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</si>
  <si>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</si>
  <si>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</si>
  <si>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</si>
  <si>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</si>
  <si>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</si>
  <si>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</si>
  <si>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</si>
  <si>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</si>
  <si>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</si>
  <si>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</si>
  <si>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</si>
  <si>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</si>
  <si>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</si>
  <si>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</si>
  <si>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</si>
  <si>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</si>
  <si>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</si>
  <si>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</si>
  <si>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</si>
  <si>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</si>
  <si>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</si>
  <si>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</si>
  <si>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</si>
  <si>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</si>
  <si>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</si>
  <si>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</si>
  <si>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</si>
  <si>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</si>
  <si>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</si>
  <si>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</si>
  <si>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</si>
  <si>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</si>
  <si>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</si>
  <si>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</si>
  <si>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</si>
  <si>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</si>
  <si>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</si>
  <si>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</si>
  <si>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</si>
  <si>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</si>
  <si>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</si>
  <si>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</si>
  <si>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</si>
  <si>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</si>
  <si>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</si>
  <si>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</si>
  <si>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</si>
  <si>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</si>
  <si>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</si>
  <si>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</si>
  <si>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</si>
  <si>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</si>
  <si>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</si>
  <si>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</si>
  <si>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</si>
  <si>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</si>
  <si>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</si>
  <si>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</si>
  <si>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</si>
  <si>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</si>
  <si>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</si>
  <si>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</si>
  <si>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</si>
  <si>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</si>
  <si>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</si>
  <si>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</si>
  <si>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</si>
  <si>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</si>
  <si>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</si>
  <si>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</si>
  <si>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</si>
  <si>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</si>
  <si>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</si>
  <si>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</si>
  <si>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</si>
  <si>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</si>
  <si>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</si>
  <si>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</si>
  <si>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</si>
  <si>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</si>
  <si>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</si>
  <si>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</si>
  <si>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</si>
  <si>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</si>
  <si>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</si>
  <si>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</si>
  <si>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</si>
  <si>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</si>
  <si>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</si>
  <si>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</si>
  <si>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</si>
  <si>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</si>
  <si>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</si>
  <si>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</si>
  <si>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</si>
  <si>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</si>
  <si>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</si>
  <si>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</si>
  <si>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</si>
  <si>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</si>
  <si>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</si>
  <si>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</si>
  <si>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</si>
  <si>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</si>
  <si>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</si>
  <si>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</si>
  <si>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</si>
  <si>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</si>
  <si>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</si>
  <si>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</si>
  <si>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</si>
  <si>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</si>
  <si>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</si>
  <si>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</si>
  <si>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</si>
  <si>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</si>
  <si>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</si>
  <si>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</si>
  <si>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</si>
  <si>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</si>
  <si>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</si>
  <si>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</si>
  <si>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</si>
  <si>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</si>
  <si>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</si>
  <si>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</si>
  <si>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</si>
  <si>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</si>
  <si>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</si>
  <si>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</si>
  <si>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</si>
  <si>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</si>
  <si>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</si>
  <si>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</si>
  <si>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</si>
  <si>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</si>
  <si>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</si>
  <si>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</si>
  <si>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</si>
  <si>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</si>
  <si>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</si>
  <si>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</si>
  <si>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</si>
  <si>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</si>
  <si>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</si>
  <si>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</si>
  <si>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</si>
  <si>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</si>
  <si>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</si>
  <si>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</si>
  <si>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</si>
  <si>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</si>
  <si>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</si>
  <si>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</si>
  <si>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</si>
  <si>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</si>
  <si>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</si>
  <si>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</si>
  <si>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</si>
  <si>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</si>
  <si>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</si>
  <si>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</si>
  <si>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</si>
  <si>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</si>
  <si>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</si>
  <si>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</si>
  <si>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</si>
  <si>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</si>
  <si>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</si>
  <si>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</si>
  <si>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</si>
  <si>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</si>
  <si>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</si>
  <si>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</si>
  <si>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</si>
  <si>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</si>
  <si>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</si>
  <si>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</si>
  <si>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</si>
  <si>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</si>
  <si>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</si>
  <si>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</si>
  <si>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</si>
  <si>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</si>
  <si>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</si>
  <si>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</si>
  <si>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</si>
  <si>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</si>
  <si>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</si>
  <si>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</si>
  <si>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</si>
  <si>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</si>
  <si>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</si>
  <si>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</si>
  <si>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</si>
  <si>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</si>
  <si>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</si>
  <si>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</si>
  <si>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</si>
  <si>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</si>
  <si>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</si>
  <si>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</si>
  <si>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</si>
  <si>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</si>
  <si>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</si>
  <si>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</si>
  <si>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</si>
  <si>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</si>
  <si>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</si>
  <si>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</si>
  <si>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</si>
  <si>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</si>
  <si>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</si>
  <si>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</si>
  <si>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</si>
  <si>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</si>
  <si>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</si>
  <si>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</si>
  <si>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</si>
  <si>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</si>
  <si>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</si>
  <si>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</si>
  <si>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</si>
  <si>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</si>
  <si>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</si>
  <si>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</si>
  <si>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</si>
  <si>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</si>
  <si>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</si>
  <si>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</si>
  <si>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</si>
  <si>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</si>
  <si>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</si>
  <si>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</si>
  <si>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</si>
  <si>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</si>
  <si>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</si>
  <si>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</si>
  <si>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</si>
  <si>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</si>
  <si>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</si>
  <si>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</si>
  <si>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</si>
  <si>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</si>
  <si>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</si>
  <si>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</si>
  <si>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</si>
  <si>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</si>
  <si>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</si>
  <si>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</si>
  <si>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</si>
  <si>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</si>
  <si>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</si>
  <si>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</si>
  <si>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</si>
  <si>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</si>
  <si>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</si>
  <si>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</si>
  <si>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</si>
  <si>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</si>
  <si>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</si>
  <si>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</si>
  <si>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</si>
  <si>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</si>
  <si>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</si>
  <si>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</si>
  <si>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</si>
  <si>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</si>
  <si>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</si>
  <si>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</si>
  <si>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</si>
  <si>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</si>
  <si>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</si>
  <si>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</si>
  <si>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</si>
  <si>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</si>
  <si>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</si>
  <si>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</si>
  <si>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</si>
  <si>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</si>
  <si>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</si>
  <si>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</si>
  <si>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</si>
  <si>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</si>
  <si>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</si>
  <si>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</si>
  <si>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</si>
  <si>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</si>
  <si>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</si>
  <si>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</si>
  <si>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</si>
  <si>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</si>
  <si>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</si>
  <si>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</si>
  <si>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</si>
  <si>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</si>
  <si>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</si>
  <si>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</si>
  <si>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</si>
  <si>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</si>
  <si>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</si>
  <si>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</si>
  <si>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</si>
  <si>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</si>
  <si>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</si>
  <si>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</si>
  <si>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</si>
  <si>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</si>
  <si>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</si>
  <si>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</si>
  <si>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</si>
  <si>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</si>
  <si>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</si>
  <si>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</si>
  <si>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</si>
  <si>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</si>
  <si>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</si>
  <si>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</si>
  <si>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</si>
  <si>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</si>
  <si>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</si>
  <si>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</si>
  <si>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</si>
  <si>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</si>
  <si>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</si>
  <si>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</si>
  <si>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</si>
  <si>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</si>
  <si>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</si>
  <si>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</si>
  <si>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</si>
  <si>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</si>
  <si>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</si>
  <si>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</si>
  <si>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</si>
  <si>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</si>
  <si>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</si>
  <si>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</si>
  <si>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</si>
  <si>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</si>
  <si>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</si>
  <si>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</si>
  <si>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</si>
  <si>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</si>
  <si>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</si>
  <si>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</si>
  <si>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</si>
  <si>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</si>
  <si>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</si>
  <si>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</si>
  <si>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</si>
  <si>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</si>
  <si>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</si>
  <si>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</si>
  <si>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</si>
  <si>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</si>
  <si>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</si>
  <si>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</si>
  <si>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</si>
  <si>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</si>
  <si>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</si>
  <si>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</si>
  <si>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</si>
  <si>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</si>
  <si>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</si>
  <si>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</si>
  <si>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</si>
  <si>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</si>
  <si>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</si>
  <si>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</si>
  <si>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</si>
  <si>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</si>
  <si>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</si>
  <si>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</si>
  <si>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</si>
  <si>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</si>
  <si>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</si>
  <si>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</si>
  <si>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</si>
  <si>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</si>
  <si>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</si>
  <si>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</si>
  <si>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</si>
  <si>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</si>
  <si>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</si>
  <si>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</si>
  <si>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</si>
  <si>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</si>
  <si>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</si>
  <si>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</si>
  <si>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</si>
  <si>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</si>
  <si>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</si>
  <si>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</si>
  <si>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</si>
  <si>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</si>
  <si>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</si>
  <si>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</si>
  <si>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</si>
  <si>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</si>
  <si>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</si>
  <si>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</si>
  <si>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</si>
  <si>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</si>
  <si>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</si>
  <si>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</si>
  <si>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</si>
  <si>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</si>
  <si>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</si>
  <si>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</si>
  <si>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</si>
  <si>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</si>
  <si>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</si>
  <si>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</si>
  <si>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</si>
  <si>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</si>
  <si>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</si>
  <si>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</si>
  <si>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</si>
  <si>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</si>
  <si>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</si>
  <si>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</si>
  <si>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</si>
  <si>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</si>
  <si>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</si>
  <si>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</si>
  <si>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</si>
  <si>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</si>
  <si>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</si>
  <si>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</si>
  <si>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</si>
  <si>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</si>
  <si>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</si>
  <si>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</si>
  <si>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</si>
  <si>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</si>
  <si>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</si>
  <si>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</si>
  <si>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</si>
  <si>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</si>
  <si>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</si>
  <si>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</si>
  <si>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</si>
  <si>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</si>
  <si>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</si>
  <si>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</si>
  <si>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</si>
  <si>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</si>
  <si>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</si>
  <si>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</si>
  <si>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</si>
  <si>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</si>
  <si>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</si>
  <si>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</si>
  <si>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</si>
  <si>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</si>
  <si>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</si>
  <si>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</si>
  <si>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</si>
  <si>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</si>
  <si>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</si>
  <si>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</si>
  <si>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</si>
  <si>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</si>
  <si>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</si>
  <si>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</si>
  <si>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</si>
  <si>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</si>
  <si>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</si>
  <si>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</si>
  <si>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</si>
  <si>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</si>
  <si>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</si>
  <si>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</si>
  <si>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</si>
  <si>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</si>
  <si>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</si>
  <si>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</si>
  <si>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</si>
  <si>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</si>
  <si>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</si>
  <si>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</si>
  <si>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</si>
  <si>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</si>
  <si>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</si>
  <si>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</si>
  <si>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</si>
  <si>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</si>
  <si>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</si>
  <si>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</si>
  <si>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</si>
  <si>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</si>
  <si>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</si>
  <si>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</si>
  <si>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</si>
  <si>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</si>
  <si>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</si>
  <si>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</si>
  <si>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</si>
  <si>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</si>
  <si>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</si>
  <si>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</si>
  <si>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</si>
  <si>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</si>
  <si>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</si>
  <si>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</si>
  <si>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</si>
  <si>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</si>
  <si>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</si>
  <si>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</si>
  <si>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</si>
  <si>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</si>
  <si>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</si>
  <si>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</si>
  <si>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</si>
  <si>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</si>
  <si>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</si>
  <si>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</si>
  <si>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</si>
  <si>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</si>
  <si>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</si>
  <si>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</si>
  <si>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</si>
  <si>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</si>
  <si>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</si>
  <si>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</si>
  <si>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</si>
  <si>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</si>
  <si>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</si>
  <si>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</si>
  <si>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</si>
  <si>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</si>
  <si>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</si>
  <si>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</si>
  <si>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</si>
  <si>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</si>
  <si>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</si>
  <si>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</si>
  <si>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</si>
  <si>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</si>
  <si>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</si>
  <si>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</si>
  <si>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</si>
  <si>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</si>
  <si>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</si>
  <si>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</si>
  <si>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</si>
  <si>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</si>
  <si>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</si>
  <si>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</si>
  <si>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</si>
  <si>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</si>
  <si>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</si>
  <si>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</si>
  <si>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</si>
  <si>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</si>
  <si>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</si>
  <si>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</si>
  <si>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</si>
  <si>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</si>
  <si>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</si>
  <si>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</si>
  <si>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</si>
  <si>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</si>
  <si>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</si>
  <si>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</si>
  <si>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</si>
  <si>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</si>
  <si>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</si>
  <si>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</si>
  <si>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</si>
  <si>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</si>
  <si>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</si>
  <si>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</si>
  <si>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</si>
  <si>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</si>
  <si>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</si>
  <si>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</si>
  <si>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</si>
  <si>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</si>
  <si>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</si>
  <si>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</si>
  <si>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</si>
  <si>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</si>
  <si>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</si>
  <si>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</si>
  <si>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</si>
  <si>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</si>
  <si>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</si>
  <si>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</si>
  <si>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</si>
  <si>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</si>
  <si>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</si>
  <si>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</si>
  <si>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</si>
  <si>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</si>
  <si>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</si>
  <si>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</si>
  <si>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</si>
  <si>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</si>
  <si>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</si>
  <si>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</si>
  <si>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</si>
  <si>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</si>
  <si>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</si>
  <si>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</si>
  <si>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</si>
  <si>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</si>
  <si>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</si>
  <si>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</si>
  <si>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</si>
  <si>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</si>
  <si>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</si>
  <si>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</si>
  <si>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</si>
  <si>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</si>
  <si>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</si>
  <si>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</si>
  <si>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</si>
  <si>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</si>
  <si>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</si>
  <si>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</si>
  <si>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</si>
  <si>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</si>
  <si>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</si>
  <si>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</si>
  <si>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</si>
  <si>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</si>
  <si>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</si>
  <si>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</si>
  <si>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</si>
  <si>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</si>
  <si>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</si>
  <si>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</si>
  <si>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</si>
  <si>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</si>
  <si>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</si>
  <si>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</si>
  <si>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</si>
  <si>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</si>
  <si>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</si>
  <si>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</si>
  <si>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</si>
  <si>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</si>
  <si>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</si>
  <si>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</si>
  <si>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</si>
  <si>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</si>
  <si>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</si>
  <si>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</si>
  <si>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</si>
  <si>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</si>
  <si>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</si>
  <si>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</si>
  <si>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</si>
  <si>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</si>
  <si>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</si>
  <si>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</si>
  <si>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</si>
  <si>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</si>
  <si>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</si>
  <si>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</si>
  <si>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</si>
  <si>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</si>
  <si>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</si>
  <si>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</si>
  <si>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</si>
  <si>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</si>
  <si>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</si>
  <si>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</si>
  <si>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</si>
  <si>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</si>
  <si>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</si>
  <si>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</si>
  <si>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</si>
  <si>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</si>
  <si>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</si>
  <si>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</si>
  <si>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</si>
  <si>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</si>
  <si>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</si>
  <si>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</si>
  <si>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</si>
  <si>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</si>
  <si>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</si>
  <si>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</si>
  <si>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</si>
  <si>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</si>
  <si>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</si>
  <si>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</si>
  <si>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</si>
  <si>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</si>
  <si>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</si>
  <si>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</si>
  <si>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</si>
  <si>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</si>
  <si>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</si>
  <si>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</si>
  <si>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</si>
  <si>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</si>
  <si>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</si>
  <si>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</si>
  <si>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</si>
  <si>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</si>
  <si>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</si>
  <si>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</si>
  <si>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</si>
  <si>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</si>
  <si>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</si>
  <si>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</si>
  <si>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</si>
  <si>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</si>
  <si>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</si>
  <si>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</si>
  <si>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</si>
  <si>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</si>
  <si>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</si>
  <si>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</si>
  <si>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</si>
  <si>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</si>
  <si>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</si>
  <si>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</si>
  <si>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</si>
  <si>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</si>
  <si>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</si>
  <si>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</si>
  <si>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</si>
  <si>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</si>
  <si>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</si>
  <si>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</si>
  <si>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</si>
  <si>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</si>
  <si>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</si>
  <si>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</si>
  <si>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</si>
  <si>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</si>
  <si>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</si>
  <si>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</si>
  <si>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</si>
  <si>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</si>
  <si>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</si>
  <si>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</si>
  <si>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</si>
  <si>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</si>
  <si>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</si>
  <si>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</si>
  <si>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</si>
  <si>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</si>
  <si>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</si>
  <si>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</si>
  <si>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</si>
  <si>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</si>
  <si>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</si>
  <si>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</si>
  <si>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</si>
  <si>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</si>
  <si>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</si>
  <si>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</si>
  <si>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</si>
  <si>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</si>
  <si>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</si>
  <si>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</si>
  <si>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</si>
  <si>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</si>
  <si>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</si>
  <si>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</si>
  <si>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</si>
  <si>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</si>
  <si>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</si>
  <si>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</si>
  <si>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</si>
  <si>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</si>
  <si>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</si>
  <si>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</si>
  <si>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</si>
  <si>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</si>
  <si>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</si>
  <si>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</si>
  <si>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</si>
  <si>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</si>
  <si>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</si>
  <si>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</si>
  <si>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</si>
  <si>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</si>
  <si>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</si>
  <si>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</si>
  <si>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</si>
  <si>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</si>
  <si>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</si>
  <si>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</si>
  <si>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</si>
  <si>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</si>
  <si>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</si>
  <si>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</si>
  <si>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</si>
  <si>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</si>
  <si>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</si>
  <si>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</si>
  <si>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</si>
  <si>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</si>
  <si>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</si>
  <si>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</si>
  <si>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</si>
  <si>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</si>
  <si>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</si>
  <si>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</si>
  <si>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</si>
  <si>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</si>
  <si>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</si>
  <si>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</si>
  <si>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</si>
  <si>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</si>
  <si>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</si>
  <si>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</si>
  <si>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</si>
  <si>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</si>
  <si>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</si>
  <si>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</si>
  <si>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</si>
  <si>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</si>
  <si>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</si>
  <si>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</si>
  <si>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</si>
  <si>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</si>
  <si>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</si>
  <si>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</si>
  <si>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</si>
  <si>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</si>
  <si>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</si>
  <si>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</si>
  <si>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</si>
  <si>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</si>
  <si>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</si>
  <si>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</si>
  <si>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</si>
  <si>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</si>
  <si>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</si>
  <si>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</si>
  <si>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</si>
  <si>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</si>
  <si>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</si>
  <si>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</si>
  <si>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</si>
  <si>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</si>
  <si>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</si>
  <si>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</si>
  <si>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</si>
  <si>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</si>
  <si>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</si>
  <si>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</si>
  <si>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</si>
  <si>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</si>
  <si>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</si>
  <si>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</si>
  <si>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</si>
  <si>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</si>
  <si>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</si>
  <si>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</si>
  <si>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</si>
  <si>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</si>
  <si>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</si>
  <si>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</si>
  <si>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</si>
  <si>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</si>
  <si>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</si>
  <si>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</si>
  <si>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</si>
  <si>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</si>
  <si>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</si>
  <si>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</si>
  <si>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</si>
  <si>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</si>
  <si>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</si>
  <si>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</si>
  <si>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</si>
  <si>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</si>
  <si>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</si>
  <si>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</si>
  <si>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</si>
  <si>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</si>
  <si>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</si>
  <si>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</si>
  <si>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</si>
  <si>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</si>
  <si>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</si>
  <si>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</si>
  <si>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</si>
  <si>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</si>
  <si>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</si>
  <si>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</si>
  <si>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</si>
  <si>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</si>
  <si>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</si>
  <si>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</si>
  <si>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</si>
  <si>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</si>
  <si>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</si>
  <si>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</si>
  <si>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</si>
  <si>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</si>
  <si>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</si>
  <si>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</si>
  <si>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</si>
  <si>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</si>
  <si>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</si>
  <si>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</si>
  <si>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</si>
  <si>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</si>
  <si>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</si>
  <si>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</si>
  <si>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</si>
  <si>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</si>
  <si>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</si>
  <si>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</si>
  <si>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</si>
  <si>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</si>
  <si>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</si>
  <si>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</si>
  <si>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</si>
  <si>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</si>
  <si>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</si>
  <si>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</si>
  <si>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</si>
  <si>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</si>
  <si>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</si>
  <si>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</si>
  <si>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</si>
  <si>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</si>
  <si>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</si>
  <si>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</si>
  <si>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</si>
  <si>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</si>
  <si>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</si>
  <si>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</si>
  <si>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</si>
  <si>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</si>
  <si>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</si>
  <si>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</si>
  <si>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</si>
  <si>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</si>
  <si>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</si>
  <si>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</si>
  <si>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</si>
  <si>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</si>
  <si>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</si>
  <si>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</si>
  <si>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</si>
  <si>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</si>
  <si>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</si>
  <si>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</si>
  <si>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</si>
  <si>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</si>
  <si>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</si>
  <si>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</si>
  <si>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</si>
  <si>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</si>
  <si>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</si>
  <si>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</si>
  <si>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</si>
  <si>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</si>
  <si>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</si>
  <si>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</si>
  <si>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</si>
  <si>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</si>
  <si>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</si>
  <si>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</si>
  <si>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</si>
  <si>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</si>
  <si>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</si>
  <si>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</si>
  <si>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</si>
  <si>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</si>
  <si>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</si>
  <si>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</si>
  <si>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</si>
  <si>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</si>
  <si>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</si>
  <si>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</si>
  <si>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</si>
  <si>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</si>
  <si>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</si>
  <si>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</si>
  <si>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</si>
  <si>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</si>
  <si>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</si>
  <si>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</si>
  <si>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</si>
  <si>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</si>
  <si>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</si>
  <si>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</si>
  <si>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</si>
  <si>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</si>
  <si>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</si>
  <si>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</si>
  <si>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</si>
  <si>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</si>
  <si>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</si>
  <si>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</si>
  <si>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</si>
  <si>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</si>
  <si>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</si>
  <si>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</si>
  <si>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</si>
  <si>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</si>
  <si>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</si>
  <si>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</si>
  <si>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</si>
  <si>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</si>
  <si>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</si>
  <si>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</si>
  <si>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</si>
  <si>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</si>
  <si>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</si>
  <si>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</si>
  <si>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</si>
  <si>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</si>
  <si>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</si>
  <si>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</si>
  <si>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</si>
  <si>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</si>
  <si>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</si>
  <si>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</si>
  <si>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</si>
  <si>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</si>
  <si>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</si>
  <si>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</si>
  <si>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</si>
  <si>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</si>
  <si>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</si>
  <si>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</si>
  <si>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</si>
  <si>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</si>
  <si>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</si>
  <si>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</si>
  <si>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</si>
  <si>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</si>
  <si>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</si>
  <si>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</si>
  <si>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</si>
  <si>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</si>
  <si>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</si>
  <si>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</si>
  <si>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</si>
  <si>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</si>
  <si>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</si>
  <si>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</si>
  <si>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</si>
  <si>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</si>
  <si>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</si>
  <si>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</si>
  <si>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</si>
  <si>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</si>
  <si>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</si>
  <si>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</si>
  <si>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</si>
  <si>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</si>
  <si>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</si>
  <si>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</si>
  <si>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</si>
  <si>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</si>
  <si>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</si>
  <si>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</si>
  <si>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</si>
  <si>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</si>
  <si>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</si>
  <si>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</si>
  <si>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</si>
  <si>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</si>
  <si>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</si>
  <si>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</si>
  <si>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</si>
  <si>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</si>
  <si>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</si>
  <si>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</si>
  <si>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</si>
  <si>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</si>
  <si>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</si>
  <si>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</si>
  <si>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</si>
  <si>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</si>
  <si>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</si>
  <si>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</si>
  <si>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</si>
  <si>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</si>
  <si>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</si>
  <si>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</si>
  <si>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</si>
  <si>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</si>
  <si>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</si>
  <si>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</si>
  <si>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</si>
  <si>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</si>
  <si>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</si>
  <si>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</si>
  <si>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</si>
  <si>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</si>
  <si>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</si>
  <si>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</si>
  <si>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</si>
  <si>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</si>
  <si>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</si>
  <si>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</si>
  <si>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</si>
  <si>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</si>
  <si>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</si>
  <si>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</si>
  <si>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</si>
  <si>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</si>
  <si>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</si>
  <si>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</si>
  <si>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</si>
  <si>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</si>
  <si>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</si>
  <si>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</si>
  <si>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</si>
  <si>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</si>
  <si>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</si>
  <si>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</si>
  <si>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</si>
  <si>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</si>
  <si>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</si>
  <si>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</si>
  <si>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</si>
  <si>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</si>
  <si>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</si>
  <si>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</si>
  <si>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</si>
  <si>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</si>
  <si>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</si>
  <si>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</si>
  <si>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</si>
  <si>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</si>
  <si>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</si>
  <si>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</si>
  <si>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</si>
  <si>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</si>
  <si>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</si>
  <si>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</si>
  <si>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</si>
  <si>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</si>
  <si>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</si>
  <si>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</si>
  <si>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</si>
  <si>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</si>
  <si>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</si>
  <si>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</si>
  <si>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</si>
  <si>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</si>
  <si>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</si>
  <si>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</si>
  <si>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</si>
  <si>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</si>
  <si>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</si>
  <si>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</si>
  <si>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</si>
  <si>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</si>
  <si>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</si>
  <si>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</si>
  <si>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</si>
  <si>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</si>
  <si>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</si>
  <si>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</si>
  <si>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</si>
  <si>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</si>
  <si>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</si>
  <si>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</si>
  <si>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</si>
  <si>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</si>
  <si>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</si>
  <si>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</si>
  <si>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</si>
  <si>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</si>
  <si>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</si>
  <si>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</si>
  <si>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</si>
  <si>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</si>
  <si>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</si>
  <si>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</si>
  <si>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</si>
  <si>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</si>
  <si>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</si>
  <si>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</si>
  <si>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</si>
  <si>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</si>
  <si>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</si>
  <si>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</si>
  <si>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</si>
  <si>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</si>
  <si>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</si>
  <si>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</si>
  <si>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</si>
  <si>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</si>
  <si>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</si>
  <si>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</si>
  <si>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</si>
  <si>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</si>
  <si>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</si>
  <si>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</si>
  <si>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</si>
  <si>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</si>
  <si>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</si>
  <si>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</si>
  <si>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</si>
  <si>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</si>
  <si>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</si>
  <si>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</si>
  <si>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</si>
  <si>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</si>
  <si>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</si>
  <si>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</si>
  <si>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</si>
  <si>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</si>
  <si>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</si>
  <si>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</si>
  <si>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</si>
  <si>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</si>
  <si>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</si>
  <si>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</si>
  <si>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</si>
  <si>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</si>
  <si>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</si>
  <si>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</si>
  <si>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</si>
  <si>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</si>
  <si>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</si>
  <si>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</si>
  <si>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</si>
  <si>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</si>
  <si>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</si>
  <si>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</si>
  <si>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</si>
  <si>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</si>
  <si>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</si>
  <si>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</si>
  <si>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</si>
  <si>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</si>
  <si>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</si>
  <si>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</si>
  <si>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</si>
  <si>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</si>
  <si>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</si>
  <si>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</si>
  <si>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</si>
  <si>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</si>
  <si>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</si>
  <si>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</si>
  <si>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</si>
  <si>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</si>
  <si>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</si>
  <si>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</si>
  <si>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</si>
  <si>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</si>
  <si>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</si>
  <si>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</si>
  <si>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</si>
  <si>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</si>
  <si>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</si>
  <si>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</si>
  <si>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</si>
  <si>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</si>
  <si>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</si>
  <si>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</si>
  <si>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</si>
  <si>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</si>
  <si>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</si>
  <si>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</si>
  <si>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</si>
  <si>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</si>
  <si>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</si>
  <si>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</si>
  <si>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</si>
  <si>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</si>
  <si>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</si>
  <si>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</si>
  <si>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</si>
  <si>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</si>
  <si>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</si>
  <si>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</si>
  <si>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</si>
  <si>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</si>
  <si>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</si>
  <si>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</si>
  <si>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</si>
  <si>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</si>
  <si>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</si>
  <si>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</si>
  <si>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</si>
  <si>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</si>
  <si>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</si>
  <si>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</si>
  <si>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</si>
  <si>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</si>
  <si>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</si>
  <si>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</si>
  <si>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</si>
  <si>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</si>
  <si>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</si>
  <si>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</si>
  <si>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</si>
  <si>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</si>
  <si>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</si>
  <si>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</si>
  <si>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</si>
  <si>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</si>
  <si>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</si>
  <si>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</si>
  <si>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</si>
  <si>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</si>
  <si>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</si>
  <si>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</si>
  <si>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</si>
  <si>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</si>
  <si>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</si>
  <si>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</si>
  <si>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</si>
  <si>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</si>
  <si>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</si>
  <si>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</si>
  <si>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</si>
  <si>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</si>
  <si>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</si>
  <si>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</si>
  <si>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</si>
  <si>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</si>
  <si>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</si>
  <si>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</si>
  <si>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</si>
  <si>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</si>
  <si>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</si>
  <si>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</si>
  <si>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</si>
  <si>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</si>
  <si>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</si>
  <si>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</si>
  <si>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</si>
  <si>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</si>
  <si>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</si>
  <si>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</si>
  <si>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</si>
  <si>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</si>
  <si>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</si>
  <si>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</si>
  <si>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</si>
  <si>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</si>
  <si>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</si>
  <si>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</si>
  <si>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</si>
  <si>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</si>
  <si>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</si>
  <si>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</si>
  <si>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</si>
  <si>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</si>
  <si>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</si>
  <si>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</si>
  <si>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</si>
  <si>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</si>
  <si>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</si>
  <si>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</si>
  <si>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</si>
  <si>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</si>
  <si>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</si>
  <si>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</si>
  <si>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</si>
  <si>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</si>
  <si>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</si>
  <si>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</si>
  <si>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</si>
  <si>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</si>
  <si>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</si>
  <si>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</si>
  <si>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</si>
  <si>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</si>
  <si>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</si>
  <si>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</si>
  <si>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</si>
  <si>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</si>
  <si>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</si>
  <si>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</si>
  <si>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</si>
  <si>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</si>
  <si>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</si>
  <si>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</si>
  <si>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</si>
  <si>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</si>
  <si>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</si>
  <si>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</si>
  <si>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</si>
  <si>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</si>
  <si>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</si>
  <si>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</si>
  <si>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</si>
  <si>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</si>
  <si>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</si>
  <si>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</si>
  <si>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</si>
  <si>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</si>
  <si>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</si>
  <si>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</si>
  <si>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</si>
  <si>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</si>
  <si>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</si>
  <si>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</si>
  <si>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</si>
  <si>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</si>
  <si>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</si>
  <si>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</si>
  <si>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</si>
  <si>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</si>
  <si>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</si>
  <si>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</si>
  <si>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</si>
  <si>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</si>
  <si>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</si>
  <si>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</si>
  <si>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</si>
  <si>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</si>
  <si>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</si>
  <si>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</si>
  <si>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</si>
  <si>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</si>
  <si>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</si>
  <si>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</si>
  <si>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</si>
  <si>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</si>
  <si>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</si>
  <si>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</si>
  <si>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</si>
  <si>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</si>
  <si>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</si>
  <si>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</si>
  <si>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</si>
  <si>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</si>
  <si>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</si>
  <si>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</si>
  <si>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</si>
  <si>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</si>
  <si>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</si>
  <si>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</si>
  <si>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</si>
  <si>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</si>
  <si>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</si>
  <si>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</si>
  <si>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</si>
  <si>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</si>
  <si>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</si>
  <si>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</si>
  <si>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</si>
  <si>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</si>
  <si>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</si>
  <si>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</si>
  <si>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</si>
  <si>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</si>
  <si>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</si>
  <si>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</si>
  <si>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</si>
  <si>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</si>
  <si>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</si>
  <si>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</si>
  <si>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</si>
  <si>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</si>
  <si>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</si>
  <si>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</si>
  <si>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</si>
  <si>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</si>
  <si>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</si>
  <si>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</si>
  <si>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</si>
  <si>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</si>
  <si>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</si>
  <si>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</si>
  <si>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</si>
  <si>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</si>
  <si>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</si>
  <si>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</si>
  <si>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</si>
  <si>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</si>
  <si>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</si>
  <si>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</si>
  <si>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</si>
  <si>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</si>
  <si>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</si>
  <si>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</si>
  <si>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</si>
  <si>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</si>
  <si>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</si>
  <si>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</si>
  <si>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</si>
  <si>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</si>
  <si>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</si>
  <si>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</si>
  <si>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</si>
  <si>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</si>
  <si>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</si>
  <si>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</si>
  <si>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</si>
  <si>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</si>
  <si>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</si>
  <si>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</si>
  <si>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</si>
  <si>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</si>
  <si>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</si>
  <si>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</si>
  <si>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</si>
  <si>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</si>
  <si>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</si>
  <si>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</si>
  <si>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</si>
  <si>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</si>
  <si>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</si>
  <si>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</si>
  <si>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</si>
  <si>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</si>
  <si>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</si>
  <si>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</si>
  <si>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</si>
  <si>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</si>
  <si>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</si>
  <si>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</si>
  <si>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</si>
  <si>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</si>
  <si>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</si>
  <si>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</si>
  <si>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</si>
  <si>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</si>
  <si>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</si>
  <si>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</si>
  <si>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</si>
  <si>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</si>
  <si>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</si>
  <si>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</si>
  <si>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</si>
  <si>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</si>
  <si>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</si>
  <si>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</si>
  <si>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</si>
  <si>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</si>
  <si>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</si>
  <si>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</si>
  <si>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</si>
  <si>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</si>
  <si>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</si>
  <si>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</si>
  <si>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</si>
  <si>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</si>
  <si>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</si>
  <si>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</si>
  <si>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</si>
  <si>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</si>
  <si>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</si>
  <si>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</si>
  <si>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</si>
  <si>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</si>
  <si>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</si>
  <si>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</si>
  <si>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</si>
  <si>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</si>
  <si>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</si>
  <si>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</si>
  <si>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</si>
  <si>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</si>
  <si>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</si>
  <si>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</si>
  <si>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</si>
  <si>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</si>
  <si>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</si>
  <si>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</si>
  <si>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</si>
  <si>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</si>
  <si>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</si>
  <si>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</si>
  <si>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</si>
  <si>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</si>
  <si>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</si>
  <si>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</si>
  <si>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</si>
  <si>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</si>
  <si>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</si>
  <si>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</si>
  <si>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</si>
  <si>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</si>
  <si>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</si>
  <si>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</si>
  <si>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</si>
  <si>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</si>
  <si>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</si>
  <si>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</si>
  <si>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</si>
  <si>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</si>
  <si>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</si>
  <si>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</si>
  <si>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</si>
  <si>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</si>
  <si>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</si>
  <si>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</si>
  <si>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</si>
  <si>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</si>
  <si>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</si>
  <si>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</si>
  <si>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</si>
  <si>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</si>
  <si>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</si>
  <si>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</si>
  <si>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</si>
  <si>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</si>
  <si>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</si>
  <si>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</si>
  <si>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</si>
  <si>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</si>
  <si>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</si>
  <si>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</si>
  <si>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</si>
  <si>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</si>
  <si>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</si>
  <si>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</si>
  <si>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</si>
  <si>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</si>
  <si>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</si>
  <si>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</si>
  <si>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</si>
  <si>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</si>
  <si>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</si>
  <si>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</si>
  <si>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</si>
  <si>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</si>
  <si>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</si>
  <si>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</si>
  <si>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</si>
  <si>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</si>
  <si>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</si>
  <si>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</si>
  <si>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</si>
  <si>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</si>
  <si>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</si>
  <si>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</si>
  <si>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</si>
  <si>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</si>
  <si>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</si>
  <si>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</si>
  <si>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</si>
  <si>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</si>
  <si>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</si>
  <si>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</si>
  <si>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</si>
  <si>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</si>
  <si>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</si>
  <si>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</si>
  <si>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</si>
  <si>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</si>
  <si>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</si>
  <si>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</si>
  <si>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</si>
  <si>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</si>
  <si>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</si>
  <si>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</si>
  <si>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</si>
  <si>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</si>
  <si>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</si>
  <si>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</si>
  <si>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</si>
  <si>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</si>
  <si>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</si>
  <si>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</si>
  <si>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</si>
  <si>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</si>
  <si>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</si>
  <si>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</si>
  <si>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</si>
  <si>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</si>
  <si>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</si>
  <si>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</si>
  <si>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</si>
  <si>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</si>
  <si>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</si>
  <si>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</si>
  <si>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</si>
  <si>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</si>
  <si>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</si>
  <si>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</si>
  <si>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</si>
  <si>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</si>
  <si>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</si>
  <si>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</si>
  <si>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</si>
  <si>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</si>
  <si>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</si>
  <si>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</si>
  <si>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</si>
  <si>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</si>
  <si>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</si>
  <si>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</si>
  <si>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</si>
  <si>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</si>
  <si>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</si>
  <si>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</si>
  <si>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</si>
  <si>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</si>
  <si>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</si>
  <si>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</si>
  <si>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</si>
  <si>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</si>
  <si>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</si>
  <si>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</si>
  <si>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</si>
  <si>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</si>
  <si>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</si>
  <si>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</si>
  <si>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</si>
  <si>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</si>
  <si>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</si>
  <si>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</si>
  <si>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</si>
  <si>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</si>
  <si>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</si>
  <si>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</si>
  <si>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</si>
  <si>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</si>
  <si>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</si>
  <si>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</si>
  <si>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</si>
  <si>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</si>
  <si>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</si>
  <si>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</si>
  <si>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</si>
  <si>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</si>
  <si>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</si>
  <si>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</si>
  <si>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</si>
  <si>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</si>
  <si>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</si>
  <si>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</si>
  <si>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</si>
  <si>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</si>
  <si>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</si>
  <si>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</si>
  <si>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</si>
  <si>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</si>
  <si>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</si>
  <si>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</si>
  <si>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</si>
  <si>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</si>
  <si>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</si>
  <si>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</si>
  <si>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</si>
  <si>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</si>
  <si>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</si>
  <si>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</si>
  <si>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</si>
  <si>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</si>
  <si>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</si>
  <si>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</si>
  <si>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</si>
  <si>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</si>
  <si>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</si>
  <si>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</si>
  <si>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</si>
  <si>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</si>
  <si>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</si>
  <si>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</si>
  <si>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</si>
  <si>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</si>
  <si>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</si>
  <si>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</si>
  <si>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</si>
  <si>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</si>
  <si>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</si>
  <si>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</si>
  <si>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</si>
  <si>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</si>
  <si>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</si>
  <si>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</si>
  <si>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</si>
  <si>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</si>
  <si>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</si>
  <si>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</si>
  <si>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</si>
  <si>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</si>
  <si>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</si>
  <si>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</si>
  <si>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</si>
  <si>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</si>
  <si>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</si>
  <si>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</si>
  <si>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</si>
  <si>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</si>
  <si>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</si>
  <si>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</si>
  <si>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</si>
  <si>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</si>
  <si>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</si>
  <si>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</si>
  <si>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</si>
  <si>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</si>
  <si>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</si>
  <si>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</si>
  <si>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</si>
  <si>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</si>
  <si>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</si>
  <si>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</si>
  <si>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</si>
  <si>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</si>
  <si>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</si>
  <si>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</si>
  <si>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</si>
  <si>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</si>
  <si>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</si>
  <si>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</si>
  <si>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</si>
  <si>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</si>
  <si>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</si>
  <si>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</si>
  <si>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</si>
  <si>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</si>
  <si>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</si>
  <si>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</si>
  <si>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</si>
  <si>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</si>
  <si>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</si>
  <si>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</si>
  <si>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</si>
  <si>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</si>
  <si>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</si>
  <si>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</si>
  <si>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</si>
  <si>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</si>
  <si>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</si>
  <si>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</si>
  <si>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</si>
  <si>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</si>
  <si>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</si>
  <si>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</si>
  <si>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</si>
  <si>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</si>
  <si>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</si>
  <si>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</si>
  <si>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</si>
  <si>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</si>
  <si>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</si>
  <si>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</si>
  <si>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</si>
  <si>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</si>
  <si>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</si>
  <si>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</si>
  <si>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</si>
  <si>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</si>
  <si>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</si>
  <si>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</si>
  <si>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</si>
  <si>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</si>
  <si>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</si>
  <si>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</si>
  <si>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</si>
  <si>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</si>
  <si>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</si>
  <si>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</si>
  <si>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</si>
  <si>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</si>
  <si>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</si>
  <si>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</si>
  <si>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</si>
  <si>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</si>
  <si>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</si>
  <si>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</si>
  <si>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</si>
  <si>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</si>
  <si>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</si>
  <si>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</si>
  <si>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</si>
  <si>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</si>
  <si>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</si>
  <si>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</si>
  <si>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</si>
  <si>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</si>
  <si>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</si>
  <si>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</si>
  <si>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</si>
  <si>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</si>
  <si>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</si>
  <si>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</si>
  <si>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</si>
  <si>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</si>
  <si>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</si>
  <si>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</si>
  <si>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</si>
  <si>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</si>
  <si>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</si>
  <si>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</si>
  <si>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</si>
  <si>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</si>
  <si>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</si>
  <si>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</si>
  <si>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</si>
  <si>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</si>
  <si>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</si>
  <si>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</si>
  <si>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</si>
  <si>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</si>
  <si>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</si>
  <si>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</si>
  <si>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</si>
  <si>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</si>
  <si>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</si>
  <si>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</si>
  <si>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</si>
  <si>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</si>
  <si>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</si>
  <si>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</si>
  <si>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</si>
  <si>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</si>
  <si>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</si>
  <si>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</si>
  <si>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</si>
  <si>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</si>
  <si>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</si>
  <si>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</si>
  <si>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</si>
  <si>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</si>
  <si>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</si>
  <si>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</si>
  <si>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</si>
  <si>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</si>
  <si>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</si>
  <si>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</si>
  <si>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</si>
  <si>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</si>
  <si>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</si>
  <si>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</si>
  <si>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</si>
  <si>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</si>
  <si>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</si>
  <si>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</si>
  <si>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</si>
  <si>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</si>
  <si>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</si>
  <si>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</si>
  <si>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</si>
  <si>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</si>
  <si>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</si>
  <si>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</si>
  <si>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</si>
  <si>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</si>
  <si>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</si>
  <si>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</si>
  <si>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</si>
  <si>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</si>
  <si>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</si>
  <si>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</si>
  <si>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</si>
  <si>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</si>
  <si>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</si>
  <si>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</si>
  <si>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</si>
  <si>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</si>
  <si>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</si>
  <si>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</si>
  <si>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</si>
  <si>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</si>
  <si>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</si>
  <si>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</si>
  <si>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</si>
  <si>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</si>
  <si>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</si>
  <si>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</si>
  <si>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</si>
  <si>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</si>
  <si>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</si>
  <si>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</si>
  <si>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</si>
  <si>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</si>
  <si>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</si>
  <si>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</si>
  <si>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</si>
  <si>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</si>
  <si>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</si>
  <si>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</si>
  <si>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</si>
  <si>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</si>
  <si>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</si>
  <si>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</si>
  <si>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</si>
  <si>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</si>
  <si>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</si>
  <si>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</si>
  <si>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</si>
  <si>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</si>
  <si>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</si>
  <si>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</si>
  <si>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</si>
  <si>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</si>
  <si>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</si>
  <si>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</si>
  <si>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</si>
  <si>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</si>
  <si>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</si>
  <si>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</si>
  <si>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</si>
  <si>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</si>
  <si>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</si>
  <si>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</si>
  <si>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</si>
  <si>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</si>
  <si>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</si>
  <si>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</si>
  <si>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</si>
  <si>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</si>
  <si>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</si>
  <si>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</si>
  <si>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</si>
  <si>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</si>
  <si>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</si>
  <si>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</si>
  <si>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</si>
  <si>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</si>
  <si>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</si>
  <si>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</si>
  <si>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</si>
  <si>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</si>
  <si>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</si>
  <si>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</si>
  <si>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</si>
  <si>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</si>
  <si>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</si>
  <si>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</si>
  <si>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</si>
  <si>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</si>
  <si>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</si>
  <si>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</si>
  <si>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</si>
  <si>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</si>
  <si>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</si>
  <si>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</si>
  <si>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</si>
  <si>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</si>
  <si>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</si>
  <si>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</si>
  <si>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</si>
  <si>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</si>
  <si>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</si>
  <si>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</si>
  <si>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</si>
  <si>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</si>
  <si>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</si>
  <si>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</si>
  <si>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</si>
  <si>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</si>
  <si>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</si>
  <si>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</si>
  <si>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</si>
  <si>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</si>
  <si>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</si>
  <si>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</si>
  <si>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</si>
  <si>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</si>
  <si>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</si>
  <si>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</si>
  <si>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</si>
  <si>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</si>
  <si>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</si>
  <si>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</si>
  <si>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</si>
  <si>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</si>
  <si>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</si>
  <si>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</si>
  <si>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</si>
  <si>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</si>
  <si>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</si>
  <si>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</si>
  <si>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</si>
  <si>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</si>
  <si>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</si>
  <si>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</si>
  <si>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</si>
  <si>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</si>
  <si>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</si>
  <si>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</si>
  <si>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</si>
  <si>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</si>
  <si>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</si>
  <si>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</si>
  <si>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</si>
  <si>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</si>
  <si>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</si>
  <si>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</si>
  <si>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</si>
  <si>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</si>
  <si>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</si>
  <si>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</si>
  <si>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</si>
  <si>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</si>
  <si>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</si>
  <si>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</si>
  <si>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</si>
  <si>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</si>
  <si>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</si>
  <si>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</si>
  <si>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</si>
  <si>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</si>
  <si>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</si>
  <si>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</si>
  <si>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</si>
  <si>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</si>
  <si>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</si>
  <si>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</si>
  <si>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</si>
  <si>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</si>
  <si>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</si>
  <si>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</si>
  <si>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</si>
  <si>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</si>
  <si>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</si>
  <si>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</si>
  <si>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</si>
  <si>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</si>
  <si>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</si>
  <si>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</si>
  <si>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</si>
  <si>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</si>
  <si>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</si>
  <si>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</si>
  <si>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</si>
  <si>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</si>
  <si>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</si>
  <si>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</si>
  <si>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</si>
  <si>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</si>
  <si>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</si>
  <si>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</si>
  <si>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</si>
  <si>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</si>
  <si>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</si>
  <si>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</si>
  <si>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</si>
  <si>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</si>
  <si>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</si>
  <si>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</si>
  <si>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</si>
  <si>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</si>
  <si>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</si>
  <si>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</si>
  <si>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</si>
  <si>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</si>
  <si>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</si>
  <si>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</si>
  <si>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</si>
  <si>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</si>
  <si>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</si>
  <si>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</si>
  <si>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</si>
  <si>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</si>
  <si>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</si>
  <si>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</si>
  <si>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</si>
  <si>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</si>
  <si>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</si>
  <si>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</si>
  <si>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</si>
  <si>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</si>
  <si>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</si>
  <si>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</si>
  <si>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</si>
  <si>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</si>
  <si>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</si>
  <si>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</si>
  <si>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</si>
  <si>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</si>
  <si>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</si>
  <si>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</si>
  <si>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</si>
  <si>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</si>
  <si>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</si>
  <si>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</si>
  <si>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</si>
  <si>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</si>
  <si>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</si>
  <si>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</si>
  <si>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</si>
  <si>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</si>
  <si>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</si>
  <si>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</si>
  <si>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</si>
  <si>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</si>
  <si>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</si>
  <si>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</si>
  <si>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</si>
  <si>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</si>
  <si>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</si>
  <si>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</si>
  <si>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</si>
  <si>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</si>
  <si>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</si>
  <si>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</si>
  <si>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</si>
  <si>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</si>
  <si>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</si>
  <si>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</si>
  <si>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</si>
  <si>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</si>
  <si>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</si>
  <si>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</si>
  <si>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</si>
  <si>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</si>
  <si>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</si>
  <si>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</si>
  <si>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</si>
  <si>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</si>
  <si>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</si>
  <si>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</si>
  <si>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</si>
  <si>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</si>
  <si>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</si>
  <si>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</si>
  <si>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</si>
  <si>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</si>
  <si>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</si>
  <si>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</si>
  <si>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</si>
  <si>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</si>
  <si>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</si>
  <si>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</si>
  <si>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</si>
  <si>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</si>
  <si>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</si>
  <si>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</si>
  <si>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</si>
  <si>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</si>
  <si>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</si>
  <si>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</si>
  <si>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</si>
  <si>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</si>
  <si>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</si>
  <si>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</si>
  <si>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</si>
  <si>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</si>
  <si>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</si>
  <si>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</si>
  <si>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</si>
  <si>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</si>
  <si>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</si>
  <si>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</si>
  <si>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</si>
  <si>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</si>
  <si>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</si>
  <si>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</si>
  <si>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</si>
  <si>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</si>
  <si>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</si>
  <si>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</si>
  <si>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</si>
  <si>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</si>
  <si>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</si>
  <si>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</si>
  <si>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</si>
  <si>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</si>
  <si>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</si>
  <si>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</si>
  <si>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</si>
  <si>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</si>
  <si>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</si>
  <si>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</si>
  <si>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</si>
  <si>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</si>
  <si>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</si>
  <si>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</si>
  <si>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</si>
  <si>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</si>
  <si>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</si>
  <si>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</si>
  <si>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</si>
  <si>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</si>
  <si>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</si>
  <si>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</si>
  <si>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</si>
  <si>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</si>
  <si>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</si>
  <si>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</si>
  <si>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</si>
  <si>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</si>
  <si>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</si>
  <si>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</si>
  <si>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</si>
  <si>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</si>
  <si>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</si>
  <si>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</si>
  <si>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</si>
  <si>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</si>
  <si>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</si>
  <si>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</si>
  <si>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</si>
  <si>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</si>
  <si>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</si>
  <si>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</si>
  <si>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</si>
  <si>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</si>
  <si>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</si>
  <si>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</si>
  <si>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</si>
  <si>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</si>
  <si>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</si>
  <si>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</si>
  <si>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</si>
  <si>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</si>
  <si>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</si>
  <si>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</si>
  <si>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</si>
  <si>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</si>
  <si>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</si>
  <si>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</si>
  <si>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</si>
  <si>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</si>
  <si>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</si>
  <si>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</si>
  <si>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</si>
  <si>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</si>
  <si>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</si>
  <si>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</si>
  <si>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</si>
  <si>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</si>
  <si>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</si>
  <si>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</si>
  <si>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</si>
  <si>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</si>
  <si>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</si>
  <si>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</si>
  <si>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</si>
  <si>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</si>
  <si>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</si>
  <si>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</si>
  <si>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</si>
  <si>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</si>
  <si>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</si>
  <si>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</si>
  <si>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</si>
  <si>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</si>
  <si>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</si>
  <si>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</si>
  <si>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</si>
  <si>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</si>
  <si>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</si>
  <si>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</si>
  <si>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</si>
  <si>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</si>
  <si>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</si>
  <si>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</si>
  <si>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</si>
  <si>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</si>
  <si>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</si>
  <si>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</si>
  <si>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</si>
  <si>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</si>
  <si>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</si>
  <si>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</si>
  <si>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</si>
  <si>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</si>
  <si>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</si>
  <si>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</si>
  <si>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</si>
  <si>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</si>
  <si>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</si>
  <si>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</si>
  <si>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</si>
  <si>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</si>
  <si>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</si>
  <si>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</si>
  <si>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</si>
  <si>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</si>
  <si>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</si>
  <si>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</si>
  <si>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</si>
  <si>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</si>
  <si>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</si>
  <si>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</si>
  <si>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</si>
  <si>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</si>
  <si>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</si>
  <si>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</si>
  <si>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</si>
  <si>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</si>
  <si>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</si>
  <si>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</si>
  <si>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</si>
  <si>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</si>
  <si>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</si>
  <si>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</si>
  <si>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</si>
  <si>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</si>
  <si>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</si>
  <si>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</si>
  <si>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</si>
  <si>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</si>
  <si>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</si>
  <si>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</si>
  <si>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</si>
  <si>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</si>
  <si>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</si>
  <si>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</si>
  <si>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</si>
  <si>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</si>
  <si>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</si>
  <si>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</si>
  <si>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</si>
  <si>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</si>
  <si>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</si>
  <si>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</si>
  <si>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</si>
  <si>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</si>
  <si>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</si>
  <si>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</si>
  <si>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</si>
  <si>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</si>
  <si>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</si>
  <si>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</si>
  <si>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</si>
  <si>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</si>
  <si>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</si>
  <si>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</si>
  <si>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</si>
  <si>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</si>
  <si>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</si>
  <si>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</si>
  <si>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</si>
  <si>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</si>
  <si>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</si>
  <si>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</si>
  <si>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</si>
  <si>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</si>
  <si>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</si>
  <si>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</si>
  <si>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</si>
  <si>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</si>
  <si>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</si>
  <si>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</si>
  <si>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</si>
  <si>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</si>
  <si>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</si>
  <si>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</si>
  <si>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</si>
  <si>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</si>
  <si>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</si>
  <si>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</si>
  <si>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</si>
  <si>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</si>
  <si>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</si>
  <si>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</si>
  <si>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</si>
  <si>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</si>
  <si>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</si>
  <si>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</si>
  <si>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</si>
  <si>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</si>
  <si>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</si>
  <si>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</si>
  <si>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</si>
  <si>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</si>
  <si>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</si>
  <si>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</si>
  <si>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</si>
  <si>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</si>
  <si>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</si>
  <si>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</si>
  <si>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</si>
  <si>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</si>
  <si>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</si>
  <si>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</si>
  <si>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</si>
  <si>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</si>
  <si>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</si>
  <si>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</si>
  <si>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</si>
  <si>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</si>
  <si>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</si>
  <si>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</si>
  <si>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</si>
  <si>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</si>
  <si>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</si>
  <si>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</si>
  <si>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</si>
  <si>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</si>
  <si>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</si>
  <si>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</si>
  <si>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</si>
  <si>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</si>
  <si>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</si>
  <si>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</si>
  <si>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</si>
  <si>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</si>
  <si>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</si>
  <si>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</si>
  <si>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</si>
  <si>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</si>
  <si>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</si>
  <si>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</si>
  <si>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</si>
  <si>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</si>
  <si>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</si>
  <si>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</si>
  <si>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</si>
  <si>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</si>
  <si>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</si>
  <si>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</si>
  <si>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</si>
  <si>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</si>
  <si>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</si>
  <si>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</si>
  <si>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</si>
  <si>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</si>
  <si>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</si>
  <si>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</si>
  <si>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</si>
  <si>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</si>
  <si>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</si>
  <si>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</si>
  <si>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</si>
  <si>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</si>
  <si>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</si>
  <si>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</si>
  <si>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</si>
  <si>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</si>
  <si>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</si>
  <si>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</si>
  <si>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</si>
  <si>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</si>
  <si>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</si>
  <si>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</si>
  <si>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</si>
  <si>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</si>
  <si>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</si>
  <si>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</si>
  <si>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</si>
  <si>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</si>
  <si>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</si>
  <si>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</si>
  <si>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</si>
  <si>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</si>
  <si>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</si>
  <si>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</si>
  <si>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</si>
  <si>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</si>
  <si>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</si>
  <si>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</si>
  <si>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</si>
  <si>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</si>
  <si>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</si>
  <si>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</si>
  <si>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</si>
  <si>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</si>
  <si>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</si>
  <si>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</si>
  <si>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</si>
  <si>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</si>
  <si>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</si>
  <si>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</si>
  <si>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</si>
  <si>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</si>
  <si>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</si>
  <si>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</si>
  <si>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</si>
  <si>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</si>
  <si>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</si>
  <si>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</si>
  <si>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</si>
  <si>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</si>
  <si>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</si>
  <si>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</si>
  <si>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</si>
  <si>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</si>
  <si>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</si>
  <si>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</si>
  <si>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</si>
  <si>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</si>
  <si>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</si>
  <si>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</si>
  <si>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</si>
  <si>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</si>
  <si>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</si>
  <si>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</si>
  <si>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</si>
  <si>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</si>
  <si>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</si>
  <si>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</si>
  <si>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</si>
  <si>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</si>
  <si>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</si>
  <si>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</si>
  <si>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</si>
  <si>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</si>
  <si>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</si>
  <si>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</si>
  <si>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</si>
  <si>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</si>
  <si>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</si>
  <si>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</si>
  <si>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</si>
  <si>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</si>
  <si>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</si>
  <si>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</si>
  <si>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</si>
  <si>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</si>
  <si>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</si>
  <si>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</si>
  <si>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</si>
  <si>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</si>
  <si>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</si>
  <si>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</si>
  <si>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</si>
  <si>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</si>
  <si>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</si>
  <si>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</si>
  <si>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</si>
  <si>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</si>
  <si>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</si>
  <si>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</si>
  <si>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</si>
  <si>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</si>
  <si>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</si>
  <si>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</si>
  <si>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</si>
  <si>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</si>
  <si>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</si>
  <si>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</si>
  <si>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</si>
  <si>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</si>
  <si>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</si>
  <si>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</si>
  <si>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</si>
  <si>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</si>
  <si>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</si>
  <si>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</si>
  <si>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</si>
  <si>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</si>
  <si>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</si>
  <si>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</si>
  <si>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</si>
  <si>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</si>
  <si>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</si>
  <si>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</si>
  <si>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</si>
  <si>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</si>
  <si>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</si>
  <si>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</si>
  <si>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</si>
  <si>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</si>
  <si>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</si>
  <si>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</si>
  <si>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</si>
  <si>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</si>
  <si>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</si>
  <si>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</si>
  <si>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</si>
  <si>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</si>
  <si>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</si>
  <si>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</si>
  <si>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</si>
  <si>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</si>
  <si>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</si>
  <si>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</si>
  <si>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</si>
  <si>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</si>
  <si>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</si>
  <si>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</si>
  <si>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</si>
  <si>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</si>
  <si>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</si>
  <si>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</si>
  <si>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</si>
  <si>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</si>
  <si>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</si>
  <si>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</si>
  <si>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</si>
  <si>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</si>
  <si>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</si>
  <si>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</si>
  <si>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</si>
  <si>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</si>
  <si>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</si>
  <si>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</si>
  <si>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</si>
  <si>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</si>
  <si>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</si>
  <si>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</si>
  <si>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</si>
  <si>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</si>
  <si>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</si>
  <si>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</si>
  <si>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</si>
  <si>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</si>
  <si>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</si>
  <si>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</si>
  <si>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</si>
  <si>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</si>
  <si>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</si>
  <si>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</si>
  <si>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</si>
  <si>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</si>
  <si>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</si>
  <si>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</si>
  <si>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</si>
  <si>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</si>
  <si>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</si>
  <si>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</si>
  <si>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</si>
  <si>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</si>
  <si>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</si>
  <si>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</si>
  <si>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</si>
  <si>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</si>
  <si>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</si>
  <si>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</si>
  <si>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</si>
  <si>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</si>
  <si>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</si>
  <si>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</si>
  <si>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</si>
  <si>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</si>
  <si>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</si>
  <si>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</si>
  <si>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</si>
  <si>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</si>
  <si>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</si>
  <si>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</si>
  <si>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</si>
  <si>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</si>
  <si>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</si>
  <si>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</si>
  <si>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</si>
  <si>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</si>
  <si>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</si>
  <si>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</si>
  <si>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</si>
  <si>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</si>
  <si>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</si>
  <si>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</si>
  <si>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</si>
  <si>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</si>
  <si>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</si>
  <si>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</si>
  <si>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</si>
  <si>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</si>
  <si>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</si>
  <si>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</si>
  <si>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</si>
  <si>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</si>
  <si>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</si>
  <si>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</si>
  <si>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</si>
  <si>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</si>
  <si>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</si>
  <si>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</si>
  <si>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</si>
  <si>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</si>
  <si>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</si>
  <si>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</si>
  <si>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</si>
  <si>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</si>
  <si>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</si>
  <si>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</si>
  <si>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</si>
  <si>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</si>
  <si>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</si>
  <si>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</si>
  <si>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</si>
  <si>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</si>
  <si>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</si>
  <si>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</si>
  <si>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</si>
  <si>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</si>
  <si>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</si>
  <si>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</si>
  <si>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</si>
  <si>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</si>
  <si>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</si>
  <si>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</si>
  <si>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</si>
  <si>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</si>
  <si>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</si>
  <si>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</si>
  <si>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</si>
  <si>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</si>
  <si>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</si>
  <si>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</si>
  <si>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</si>
  <si>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</si>
  <si>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</si>
  <si>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</si>
  <si>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</si>
  <si>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</si>
  <si>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</si>
  <si>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</si>
  <si>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</si>
  <si>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</si>
  <si>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</si>
  <si>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</si>
  <si>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</si>
  <si>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</si>
  <si>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</si>
  <si>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</si>
  <si>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</si>
  <si>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</si>
  <si>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</si>
  <si>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</si>
  <si>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</si>
  <si>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</si>
  <si>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</si>
  <si>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</si>
  <si>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</si>
  <si>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</si>
  <si>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</si>
  <si>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</si>
  <si>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</si>
  <si>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</si>
  <si>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</si>
  <si>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</si>
  <si>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</si>
  <si>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</si>
  <si>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</si>
  <si>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</si>
  <si>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</si>
  <si>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</si>
  <si>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</si>
  <si>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</si>
  <si>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</si>
  <si>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</si>
  <si>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</si>
  <si>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</si>
  <si>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</si>
  <si>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</si>
  <si>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</si>
  <si>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</si>
  <si>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</si>
  <si>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</si>
  <si>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</si>
  <si>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</si>
  <si>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</si>
  <si>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</si>
  <si>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</si>
  <si>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</si>
  <si>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</si>
  <si>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</si>
  <si>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</si>
  <si>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</si>
  <si>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</si>
  <si>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</si>
  <si>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</si>
  <si>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</si>
  <si>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</si>
  <si>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</si>
  <si>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</si>
  <si>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</si>
  <si>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</si>
  <si>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</si>
  <si>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</si>
  <si>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</si>
  <si>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</si>
  <si>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</si>
  <si>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</si>
  <si>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</si>
  <si>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</si>
  <si>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</si>
  <si>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</si>
  <si>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</si>
  <si>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</si>
  <si>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</si>
  <si>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</si>
  <si>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</si>
  <si>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</si>
  <si>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</si>
  <si>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</si>
  <si>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</si>
  <si>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</si>
  <si>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</si>
  <si>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</si>
  <si>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</si>
  <si>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</si>
  <si>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</si>
  <si>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</si>
  <si>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</si>
  <si>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</si>
  <si>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</si>
  <si>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</si>
  <si>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</si>
  <si>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</si>
  <si>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</si>
  <si>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</si>
  <si>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</si>
  <si>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</si>
  <si>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</si>
  <si>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</si>
  <si>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</si>
  <si>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</si>
  <si>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</si>
  <si>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</si>
  <si>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</si>
  <si>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</si>
  <si>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</si>
  <si>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</si>
  <si>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</si>
  <si>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</si>
  <si>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</si>
  <si>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</si>
  <si>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</si>
  <si>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</si>
  <si>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</si>
  <si>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</si>
  <si>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</si>
  <si>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</si>
  <si>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</si>
  <si>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</si>
  <si>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</si>
  <si>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</si>
  <si>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</si>
  <si>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</si>
  <si>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</si>
  <si>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</si>
  <si>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</si>
  <si>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</si>
  <si>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</si>
  <si>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</si>
  <si>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</si>
  <si>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</si>
  <si>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</si>
  <si>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</si>
  <si>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</si>
  <si>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</si>
  <si>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</si>
  <si>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</si>
  <si>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</si>
  <si>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</si>
  <si>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</si>
  <si>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</si>
  <si>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</si>
  <si>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</si>
  <si>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</si>
  <si>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</si>
  <si>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</si>
  <si>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</si>
  <si>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</si>
  <si>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</si>
  <si>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</si>
  <si>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</si>
  <si>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</si>
  <si>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</si>
  <si>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</si>
  <si>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</si>
  <si>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</si>
  <si>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</si>
  <si>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</si>
  <si>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</si>
  <si>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</si>
  <si>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</si>
  <si>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</si>
  <si>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</si>
  <si>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</si>
  <si>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</si>
  <si>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</si>
  <si>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</si>
  <si>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</si>
  <si>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</si>
  <si>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</si>
  <si>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</si>
  <si>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</si>
  <si>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</si>
  <si>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</si>
  <si>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</si>
  <si>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</si>
  <si>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</si>
  <si>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</si>
  <si>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</si>
  <si>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</si>
  <si>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</si>
  <si>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</si>
  <si>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</si>
  <si>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</si>
  <si>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</si>
  <si>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</si>
  <si>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</si>
  <si>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</si>
  <si>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</si>
  <si>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</si>
  <si>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</si>
  <si>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</si>
  <si>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</si>
  <si>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</si>
  <si>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</si>
  <si>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</si>
  <si>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</si>
  <si>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</si>
  <si>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</si>
  <si>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</si>
  <si>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</si>
  <si>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</si>
  <si>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</si>
  <si>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</si>
  <si>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</si>
  <si>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</si>
  <si>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</si>
  <si>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</si>
  <si>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</si>
  <si>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</si>
  <si>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</si>
  <si>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</si>
  <si>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</si>
  <si>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</si>
  <si>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</si>
  <si>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</si>
  <si>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</si>
  <si>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</si>
  <si>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</si>
  <si>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</si>
  <si>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</si>
  <si>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</si>
  <si>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</si>
  <si>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</si>
  <si>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</si>
  <si>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</si>
  <si>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</si>
  <si>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</si>
  <si>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</si>
  <si>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</si>
  <si>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</si>
  <si>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</si>
  <si>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</si>
  <si>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</si>
  <si>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</si>
  <si>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</si>
  <si>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</si>
  <si>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</si>
  <si>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</si>
  <si>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</si>
  <si>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</si>
  <si>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</si>
  <si>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</si>
  <si>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</si>
  <si>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</si>
  <si>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</si>
  <si>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</si>
  <si>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</si>
  <si>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</si>
  <si>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</si>
  <si>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</si>
  <si>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</si>
  <si>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</si>
  <si>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</si>
  <si>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</si>
  <si>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</si>
  <si>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</si>
  <si>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</si>
  <si>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</si>
  <si>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</si>
  <si>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</si>
  <si>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</si>
  <si>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</si>
  <si>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</si>
  <si>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</si>
  <si>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</si>
  <si>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</si>
  <si>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</si>
  <si>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</si>
  <si>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</si>
  <si>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</si>
  <si>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</si>
  <si>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</si>
  <si>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</si>
  <si>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</si>
  <si>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</si>
  <si>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</si>
  <si>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</si>
  <si>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</si>
  <si>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</si>
  <si>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</si>
  <si>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</si>
  <si>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</si>
  <si>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</si>
  <si>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</si>
  <si>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</si>
  <si>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</si>
  <si>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</si>
  <si>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</si>
  <si>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</si>
  <si>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</si>
  <si>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</si>
  <si>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</si>
  <si>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</si>
  <si>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</si>
  <si>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</si>
  <si>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</si>
  <si>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</si>
  <si>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</si>
  <si>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</si>
  <si>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</si>
  <si>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</si>
  <si>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</si>
  <si>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</si>
  <si>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</si>
  <si>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</si>
  <si>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</si>
  <si>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</si>
  <si>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</si>
  <si>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</si>
  <si>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</si>
  <si>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</si>
  <si>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</si>
  <si>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</si>
  <si>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</si>
  <si>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</si>
  <si>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</si>
  <si>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</si>
  <si>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</si>
  <si>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</si>
  <si>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</si>
  <si>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</si>
  <si>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</si>
  <si>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</si>
  <si>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</si>
  <si>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</si>
  <si>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</si>
  <si>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</si>
  <si>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</si>
  <si>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</si>
  <si>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</si>
  <si>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</si>
  <si>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</si>
  <si>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</si>
  <si>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</si>
  <si>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</si>
  <si>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</si>
  <si>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</si>
  <si>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</si>
  <si>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</si>
  <si>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</si>
  <si>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</si>
  <si>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</si>
  <si>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</si>
  <si>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</si>
  <si>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</si>
  <si>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</si>
  <si>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</si>
  <si>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</si>
  <si>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</si>
  <si>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</si>
  <si>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</si>
  <si>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</si>
  <si>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</si>
  <si>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</si>
  <si>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</si>
  <si>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</si>
  <si>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</si>
  <si>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</si>
  <si>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</si>
  <si>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</si>
  <si>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</si>
  <si>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</si>
  <si>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</si>
  <si>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</si>
  <si>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</si>
  <si>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</si>
  <si>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</si>
  <si>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</si>
  <si>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</si>
  <si>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</si>
  <si>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</si>
  <si>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</si>
  <si>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</si>
  <si>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</si>
  <si>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</si>
  <si>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</si>
  <si>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</si>
  <si>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</si>
  <si>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</si>
  <si>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</si>
  <si>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</si>
  <si>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</si>
  <si>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</si>
  <si>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</si>
  <si>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</si>
  <si>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</si>
  <si>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</si>
  <si>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</si>
  <si>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</si>
  <si>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</si>
  <si>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</si>
  <si>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</si>
  <si>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</si>
  <si>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</si>
  <si>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</si>
  <si>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</si>
  <si>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</si>
  <si>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</si>
  <si>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</si>
  <si>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</si>
  <si>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</si>
  <si>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</si>
  <si>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</si>
  <si>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</si>
  <si>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</si>
  <si>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</si>
  <si>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</si>
  <si>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</si>
  <si>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</si>
  <si>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</si>
  <si>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</si>
  <si>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</si>
  <si>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</si>
  <si>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</si>
  <si>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</si>
  <si>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</si>
  <si>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</si>
  <si>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</si>
  <si>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</si>
  <si>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</si>
  <si>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</si>
  <si>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</si>
  <si>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</si>
  <si>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</si>
  <si>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</si>
  <si>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</si>
  <si>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</si>
  <si>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</si>
  <si>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</si>
  <si>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</si>
  <si>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</si>
  <si>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</si>
  <si>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</si>
  <si>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</si>
  <si>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</si>
  <si>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</si>
  <si>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</si>
  <si>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</si>
  <si>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</si>
  <si>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</si>
  <si>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</si>
  <si>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</si>
  <si>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</si>
  <si>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</si>
  <si>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</si>
  <si>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</si>
  <si>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</si>
  <si>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</si>
  <si>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</si>
  <si>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</si>
  <si>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</si>
  <si>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</si>
  <si>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</si>
  <si>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</si>
  <si>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</si>
  <si>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</si>
  <si>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</si>
  <si>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</si>
  <si>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</si>
  <si>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</si>
  <si>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</si>
  <si>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</si>
  <si>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</si>
  <si>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</si>
  <si>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</si>
  <si>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</si>
  <si>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</si>
  <si>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</si>
  <si>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</si>
  <si>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</si>
  <si>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</si>
  <si>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</si>
  <si>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</si>
  <si>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</si>
  <si>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</si>
  <si>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</si>
  <si>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</si>
  <si>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</si>
  <si>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</si>
  <si>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</si>
  <si>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</si>
  <si>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</si>
  <si>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</si>
  <si>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</si>
  <si>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</si>
  <si>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</si>
  <si>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</si>
  <si>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</si>
  <si>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</si>
  <si>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</si>
  <si>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</si>
  <si>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</si>
  <si>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</si>
  <si>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</si>
  <si>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</si>
  <si>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</si>
  <si>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</si>
  <si>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</si>
  <si>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</si>
  <si>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</si>
  <si>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</si>
  <si>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</si>
  <si>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</si>
  <si>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</si>
  <si>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</si>
  <si>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</si>
  <si>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</si>
  <si>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</si>
  <si>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</si>
  <si>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</si>
  <si>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</si>
  <si>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</si>
  <si>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</si>
  <si>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</si>
  <si>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</si>
  <si>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</si>
  <si>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</si>
  <si>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</si>
  <si>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</si>
  <si>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</si>
  <si>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</si>
  <si>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</si>
  <si>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</si>
  <si>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</si>
  <si>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</si>
  <si>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</si>
  <si>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</si>
  <si>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</si>
  <si>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</si>
  <si>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</si>
  <si>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</si>
  <si>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</si>
  <si>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</si>
  <si>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</si>
  <si>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</si>
  <si>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</si>
  <si>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</si>
  <si>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</si>
  <si>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</si>
  <si>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</si>
  <si>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</si>
  <si>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</si>
  <si>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</si>
  <si>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</si>
  <si>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</si>
  <si>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</si>
  <si>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</si>
  <si>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</si>
  <si>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</si>
  <si>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</si>
  <si>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</si>
  <si>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</si>
  <si>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</si>
  <si>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</si>
  <si>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</si>
  <si>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</si>
  <si>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</si>
  <si>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</si>
  <si>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</si>
  <si>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</si>
  <si>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</si>
  <si>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</si>
  <si>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</si>
  <si>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</si>
  <si>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</si>
  <si>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</si>
  <si>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</si>
  <si>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</si>
  <si>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</si>
  <si>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</si>
  <si>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</si>
  <si>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</si>
  <si>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</si>
  <si>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</si>
  <si>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</si>
  <si>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</si>
  <si>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</si>
  <si>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</si>
  <si>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</si>
  <si>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</si>
  <si>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</si>
  <si>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</si>
  <si>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</si>
  <si>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</si>
  <si>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</si>
  <si>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</si>
  <si>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</si>
  <si>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</si>
  <si>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</si>
  <si>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</si>
  <si>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</si>
  <si>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</si>
  <si>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</si>
  <si>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</si>
  <si>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</si>
  <si>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</si>
  <si>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</si>
  <si>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</si>
  <si>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</si>
  <si>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</si>
  <si>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</si>
  <si>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</si>
  <si>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</si>
  <si>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</si>
  <si>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</si>
  <si>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</si>
  <si>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</si>
  <si>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</si>
  <si>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</si>
  <si>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</si>
  <si>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</si>
  <si>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</si>
  <si>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</si>
  <si>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</si>
  <si>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</si>
  <si>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</si>
  <si>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</si>
  <si>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</si>
  <si>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</si>
  <si>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</si>
  <si>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</si>
  <si>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</si>
  <si>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</si>
  <si>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</si>
  <si>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</si>
  <si>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</si>
  <si>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</si>
  <si>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</si>
  <si>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</si>
  <si>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</si>
  <si>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</si>
  <si>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</si>
  <si>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</si>
  <si>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</si>
  <si>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</si>
  <si>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</si>
  <si>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</si>
  <si>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</si>
  <si>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</si>
  <si>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</si>
  <si>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</si>
  <si>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</si>
  <si>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</si>
  <si>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</si>
  <si>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</si>
  <si>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</si>
  <si>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</si>
  <si>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</si>
  <si>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</si>
  <si>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</si>
  <si>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</si>
  <si>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</si>
  <si>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</si>
  <si>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</si>
  <si>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</si>
  <si>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</si>
  <si>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</si>
  <si>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</si>
  <si>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</si>
  <si>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</si>
  <si>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</si>
  <si>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</si>
  <si>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</si>
  <si>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</si>
  <si>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</si>
  <si>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</si>
  <si>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</si>
  <si>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</si>
  <si>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</si>
  <si>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</si>
  <si>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</si>
  <si>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</si>
  <si>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</si>
  <si>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</si>
  <si>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</si>
  <si>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</si>
  <si>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</si>
  <si>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</si>
  <si>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</si>
  <si>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</si>
  <si>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</si>
  <si>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</si>
  <si>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</si>
  <si>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</si>
  <si>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</si>
  <si>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</si>
  <si>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</si>
  <si>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</si>
  <si>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</si>
  <si>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</si>
  <si>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</si>
  <si>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</si>
  <si>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</si>
  <si>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</si>
  <si>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</si>
  <si>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</si>
  <si>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</si>
  <si>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</si>
  <si>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</si>
  <si>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</si>
  <si>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</si>
  <si>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</si>
  <si>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</si>
  <si>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</si>
  <si>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</si>
  <si>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</si>
  <si>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</si>
  <si>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</si>
  <si>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</si>
  <si>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</si>
  <si>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</si>
  <si>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</si>
  <si>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</si>
  <si>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</si>
  <si>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</si>
  <si>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</si>
  <si>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</si>
  <si>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</si>
  <si>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</si>
  <si>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</si>
  <si>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</si>
  <si>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</si>
  <si>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</si>
  <si>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</si>
  <si>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</si>
  <si>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</si>
  <si>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</si>
  <si>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</si>
  <si>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</si>
  <si>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</si>
  <si>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</si>
  <si>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</si>
  <si>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</si>
  <si>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</si>
  <si>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</si>
  <si>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</si>
  <si>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</si>
  <si>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</si>
  <si>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</si>
  <si>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</si>
  <si>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</si>
  <si>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</si>
  <si>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</si>
  <si>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</si>
  <si>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</si>
  <si>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</si>
  <si>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</si>
  <si>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</si>
  <si>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</si>
  <si>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</si>
  <si>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</si>
  <si>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</si>
  <si>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</si>
  <si>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</si>
  <si>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</si>
  <si>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</si>
  <si>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</si>
  <si>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</si>
  <si>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</si>
  <si>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</si>
  <si>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</si>
  <si>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</si>
  <si>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</si>
  <si>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</si>
  <si>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</si>
  <si>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</si>
  <si>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</si>
  <si>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</si>
  <si>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</si>
  <si>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</si>
  <si>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</si>
  <si>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</si>
  <si>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</si>
  <si>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</si>
  <si>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</si>
  <si>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</si>
  <si>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</si>
  <si>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</si>
  <si>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</si>
  <si>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</si>
  <si>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</si>
  <si>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</si>
  <si>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</si>
  <si>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</si>
  <si>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</si>
  <si>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</si>
  <si>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</si>
  <si>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</si>
  <si>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</si>
  <si>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</si>
  <si>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</si>
  <si>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</si>
  <si>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</si>
  <si>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</si>
  <si>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</si>
  <si>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</si>
  <si>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</si>
  <si>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</si>
  <si>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</si>
  <si>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</si>
  <si>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</si>
  <si>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</si>
  <si>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</si>
  <si>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</si>
  <si>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</si>
  <si>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</si>
  <si>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</si>
  <si>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</si>
  <si>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</si>
  <si>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</si>
  <si>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</si>
  <si>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</si>
  <si>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</si>
  <si>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</si>
  <si>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</si>
  <si>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</si>
  <si>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</si>
  <si>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</si>
  <si>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</si>
  <si>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</si>
  <si>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</si>
  <si>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</si>
  <si>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</si>
  <si>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</si>
  <si>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</si>
  <si>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</si>
  <si>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</si>
  <si>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</si>
  <si>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</si>
  <si>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</si>
  <si>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</si>
  <si>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</si>
  <si>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</si>
  <si>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</si>
  <si>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</si>
  <si>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</si>
  <si>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</si>
  <si>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</si>
  <si>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</si>
  <si>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</si>
  <si>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</si>
  <si>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</si>
  <si>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</si>
  <si>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</si>
  <si>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</si>
  <si>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</si>
  <si>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</si>
  <si>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</si>
  <si>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</si>
  <si>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</si>
  <si>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</si>
  <si>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</si>
  <si>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</si>
  <si>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</si>
  <si>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</si>
  <si>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</si>
  <si>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</si>
  <si>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</si>
  <si>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</si>
  <si>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</si>
  <si>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</si>
  <si>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</si>
  <si>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</si>
  <si>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</si>
  <si>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</si>
  <si>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</si>
  <si>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</si>
  <si>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</si>
  <si>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</si>
  <si>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</si>
  <si>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</si>
  <si>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</si>
  <si>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</si>
  <si>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</si>
  <si>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</si>
  <si>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</si>
  <si>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</si>
  <si>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</si>
  <si>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</si>
  <si>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</si>
  <si>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</si>
  <si>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</si>
  <si>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</si>
  <si>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</si>
  <si>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</si>
  <si>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</si>
  <si>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</si>
  <si>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</si>
  <si>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</si>
  <si>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</si>
  <si>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</si>
  <si>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</si>
  <si>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</si>
  <si>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</si>
  <si>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</si>
  <si>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</si>
  <si>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</si>
  <si>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</si>
  <si>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</si>
  <si>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</si>
  <si>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</si>
  <si>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</si>
  <si>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</si>
  <si>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</si>
  <si>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</si>
  <si>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</si>
  <si>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</si>
  <si>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</si>
  <si>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</si>
  <si>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</si>
  <si>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</si>
  <si>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</si>
  <si>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</si>
  <si>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</si>
  <si>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</si>
  <si>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</si>
  <si>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</si>
  <si>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</si>
  <si>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</si>
  <si>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</si>
  <si>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</si>
  <si>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</si>
  <si>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</si>
  <si>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</si>
  <si>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</si>
  <si>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</si>
  <si>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</si>
  <si>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</si>
  <si>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</si>
  <si>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</si>
  <si>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</si>
  <si>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</si>
  <si>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</si>
  <si>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</si>
  <si>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</si>
  <si>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</si>
  <si>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</si>
  <si>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</si>
  <si>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</si>
  <si>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</si>
  <si>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</si>
  <si>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</si>
  <si>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</si>
  <si>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</si>
  <si>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</si>
  <si>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</si>
  <si>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</si>
  <si>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</si>
  <si>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</si>
  <si>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</si>
  <si>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</si>
  <si>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</si>
  <si>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</si>
  <si>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</si>
  <si>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</si>
  <si>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</si>
  <si>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</si>
  <si>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</si>
  <si>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</si>
  <si>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</si>
  <si>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</si>
  <si>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</si>
  <si>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</si>
  <si>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</si>
  <si>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</si>
  <si>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</si>
  <si>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</si>
  <si>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</si>
  <si>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</si>
  <si>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</si>
  <si>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</si>
  <si>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</si>
  <si>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</si>
  <si>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</si>
  <si>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</si>
  <si>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</si>
  <si>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</si>
  <si>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</si>
  <si>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</si>
  <si>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</si>
  <si>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</si>
  <si>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</si>
  <si>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</si>
  <si>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</si>
  <si>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</si>
  <si>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</si>
  <si>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</si>
  <si>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</si>
  <si>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</si>
  <si>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</si>
  <si>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</si>
  <si>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</si>
  <si>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</si>
  <si>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</si>
  <si>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</si>
  <si>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</si>
  <si>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</si>
  <si>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</si>
  <si>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</si>
  <si>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</si>
  <si>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</si>
  <si>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</si>
  <si>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</si>
  <si>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</si>
  <si>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</si>
  <si>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</si>
  <si>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</si>
  <si>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</si>
  <si>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</si>
  <si>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</si>
  <si>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</si>
  <si>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</si>
  <si>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</si>
  <si>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</si>
  <si>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</si>
  <si>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</si>
  <si>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</si>
  <si>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</si>
  <si>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</si>
  <si>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</si>
  <si>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</si>
  <si>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</si>
  <si>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</si>
  <si>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</si>
  <si>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</si>
  <si>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</si>
  <si>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</si>
  <si>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</si>
  <si>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</si>
  <si>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</si>
  <si>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</si>
  <si>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</si>
  <si>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</si>
  <si>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</si>
  <si>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</si>
  <si>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</si>
  <si>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</si>
  <si>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</si>
  <si>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</si>
  <si>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</si>
  <si>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</si>
  <si>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</si>
  <si>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</si>
  <si>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</si>
  <si>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</si>
  <si>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</si>
  <si>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</si>
  <si>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</si>
  <si>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</si>
  <si>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</si>
  <si>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</si>
  <si>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</si>
  <si>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</si>
  <si>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</si>
  <si>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</si>
  <si>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</si>
  <si>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</si>
  <si>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</si>
  <si>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</si>
  <si>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</si>
  <si>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</si>
  <si>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</si>
  <si>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</si>
  <si>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</si>
  <si>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</si>
  <si>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</si>
  <si>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</si>
  <si>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</si>
  <si>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</si>
  <si>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</si>
  <si>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</si>
  <si>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</si>
  <si>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</si>
  <si>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</si>
  <si>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</si>
  <si>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</si>
  <si>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</si>
  <si>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</si>
  <si>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</si>
  <si>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</si>
  <si>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</si>
  <si>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</si>
  <si>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</si>
  <si>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</si>
  <si>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</si>
  <si>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</si>
  <si>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</si>
  <si>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</si>
  <si>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</si>
  <si>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</si>
  <si>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</si>
  <si>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</si>
  <si>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</si>
  <si>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</si>
  <si>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</si>
  <si>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</si>
  <si>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</si>
  <si>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</si>
  <si>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</si>
  <si>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</si>
  <si>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</si>
  <si>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</si>
  <si>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</si>
  <si>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</si>
  <si>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</si>
  <si>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</si>
  <si>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</si>
  <si>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</si>
  <si>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</si>
  <si>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</si>
  <si>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</si>
  <si>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</si>
  <si>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</si>
  <si>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</si>
  <si>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</si>
  <si>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</si>
  <si>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</si>
  <si>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</si>
  <si>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</si>
  <si>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</si>
  <si>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</si>
  <si>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</si>
  <si>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</si>
  <si>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</si>
  <si>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</si>
  <si>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</si>
  <si>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</si>
  <si>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</si>
  <si>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</si>
  <si>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</si>
  <si>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</si>
  <si>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</si>
  <si>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</si>
  <si>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</si>
  <si>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</si>
  <si>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</si>
  <si>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</si>
  <si>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</si>
  <si>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</si>
  <si>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</si>
  <si>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</si>
  <si>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</si>
  <si>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</si>
  <si>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</si>
  <si>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</si>
  <si>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</si>
  <si>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</si>
  <si>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</si>
  <si>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</si>
  <si>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</si>
  <si>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</si>
  <si>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</si>
  <si>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</si>
  <si>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</si>
  <si>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</si>
  <si>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</si>
  <si>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</si>
  <si>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</si>
  <si>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</si>
  <si>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</si>
  <si>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</si>
  <si>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</si>
  <si>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</si>
  <si>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</si>
  <si>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</si>
  <si>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</si>
  <si>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</si>
  <si>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</si>
  <si>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</si>
  <si>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</si>
  <si>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</si>
  <si>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</si>
  <si>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</si>
  <si>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</si>
  <si>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</si>
  <si>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</si>
  <si>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</si>
  <si>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</si>
  <si>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</si>
  <si>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</si>
  <si>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</si>
  <si>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</si>
  <si>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</si>
  <si>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</si>
  <si>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</si>
  <si>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</si>
  <si>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</si>
  <si>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</si>
  <si>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</si>
  <si>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</si>
  <si>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</si>
  <si>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</si>
  <si>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</si>
  <si>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</si>
  <si>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</si>
  <si>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</si>
  <si>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</si>
  <si>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</si>
  <si>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</si>
  <si>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</si>
  <si>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</si>
  <si>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</si>
  <si>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</si>
  <si>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</si>
  <si>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</si>
  <si>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</si>
  <si>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</si>
  <si>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</si>
  <si>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</si>
  <si>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</si>
  <si>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</si>
  <si>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</si>
  <si>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</si>
  <si>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</si>
  <si>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</si>
  <si>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</si>
  <si>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</si>
  <si>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</si>
  <si>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</si>
  <si>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</si>
  <si>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</si>
  <si>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</si>
  <si>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</si>
  <si>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</si>
  <si>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</si>
  <si>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</si>
  <si>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</si>
  <si>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</si>
  <si>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</si>
  <si>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</si>
  <si>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</si>
  <si>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</si>
  <si>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</si>
  <si>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</si>
  <si>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</si>
  <si>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</si>
  <si>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</si>
  <si>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</si>
  <si>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</si>
  <si>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</si>
  <si>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</si>
  <si>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</si>
  <si>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</si>
  <si>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</si>
  <si>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</si>
  <si>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</si>
  <si>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</si>
  <si>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</si>
  <si>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</si>
  <si>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</si>
  <si>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</si>
  <si>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</si>
  <si>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</si>
  <si>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</si>
  <si>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</si>
  <si>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</si>
  <si>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</si>
  <si>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</si>
  <si>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</si>
  <si>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</si>
  <si>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</si>
  <si>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</si>
  <si>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</si>
  <si>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</si>
  <si>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</si>
  <si>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</si>
  <si>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</si>
  <si>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</si>
  <si>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</si>
  <si>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</si>
  <si>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</si>
  <si>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</si>
  <si>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</si>
  <si>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</si>
  <si>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</si>
  <si>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</si>
  <si>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</si>
  <si>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</si>
  <si>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</si>
  <si>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</si>
  <si>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</si>
  <si>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</si>
  <si>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</si>
  <si>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</si>
  <si>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</si>
  <si>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</si>
  <si>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</si>
  <si>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</si>
  <si>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</si>
  <si>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</si>
  <si>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</si>
  <si>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</si>
  <si>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</si>
  <si>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</si>
  <si>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</si>
  <si>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</si>
  <si>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</si>
  <si>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</si>
  <si>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</si>
  <si>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</si>
  <si>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</si>
  <si>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</si>
  <si>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</si>
  <si>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</si>
  <si>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</si>
  <si>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</si>
  <si>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</si>
  <si>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</si>
  <si>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</si>
  <si>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</si>
  <si>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</si>
  <si>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</si>
  <si>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</si>
  <si>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</si>
  <si>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</si>
  <si>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</si>
  <si>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</si>
  <si>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</si>
  <si>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</si>
  <si>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</si>
  <si>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</si>
  <si>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</si>
  <si>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</si>
  <si>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</si>
  <si>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</si>
  <si>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</si>
  <si>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</si>
  <si>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</si>
  <si>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</si>
  <si>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</si>
  <si>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</si>
  <si>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</si>
  <si>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</si>
  <si>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</si>
  <si>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</si>
  <si>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</si>
  <si>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</si>
  <si>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</si>
  <si>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</si>
  <si>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</si>
  <si>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</si>
  <si>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</si>
  <si>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</si>
  <si>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</si>
  <si>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</si>
  <si>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</si>
  <si>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</si>
  <si>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</si>
  <si>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</si>
  <si>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</si>
  <si>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</si>
  <si>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</si>
  <si>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</si>
  <si>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</si>
  <si>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</si>
  <si>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</si>
  <si>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</si>
  <si>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</si>
  <si>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</si>
  <si>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</si>
  <si>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</si>
  <si>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</si>
  <si>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</si>
  <si>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</si>
  <si>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</si>
  <si>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</si>
  <si>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</si>
  <si>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</si>
  <si>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</si>
  <si>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</si>
  <si>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</si>
  <si>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</si>
  <si>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</si>
  <si>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</si>
  <si>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</si>
  <si>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</si>
  <si>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</si>
  <si>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</si>
  <si>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</si>
  <si>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</si>
  <si>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</si>
  <si>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</si>
  <si>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</si>
  <si>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</si>
  <si>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</si>
  <si>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</si>
  <si>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</si>
  <si>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</si>
  <si>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</si>
  <si>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</si>
  <si>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</si>
  <si>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</si>
  <si>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</si>
  <si>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</si>
  <si>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</si>
  <si>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</si>
  <si>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</si>
  <si>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</si>
  <si>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</si>
  <si>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</si>
  <si>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</si>
  <si>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</si>
  <si>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</si>
  <si>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</si>
  <si>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</si>
  <si>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</si>
  <si>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</si>
  <si>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</si>
  <si>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</si>
  <si>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</si>
  <si>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</si>
  <si>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</si>
  <si>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</si>
  <si>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</si>
  <si>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</si>
  <si>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</si>
  <si>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</si>
  <si>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</si>
  <si>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</si>
  <si>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</si>
  <si>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</si>
  <si>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</si>
  <si>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</si>
  <si>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</si>
  <si>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</si>
  <si>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</si>
  <si>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</si>
  <si>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</si>
  <si>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</si>
  <si>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</si>
  <si>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</si>
  <si>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</si>
  <si>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</si>
  <si>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</si>
  <si>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</si>
  <si>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</si>
  <si>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</si>
  <si>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</si>
  <si>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</si>
  <si>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</si>
  <si>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</si>
  <si>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</si>
  <si>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</si>
  <si>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</si>
  <si>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</si>
  <si>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</si>
  <si>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</si>
  <si>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</si>
  <si>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</si>
  <si>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</si>
  <si>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</si>
  <si>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</si>
  <si>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</si>
  <si>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</si>
  <si>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</si>
  <si>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</si>
  <si>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</si>
  <si>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</si>
  <si>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</si>
  <si>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</si>
  <si>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</si>
  <si>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</si>
  <si>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</si>
  <si>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</si>
  <si>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</si>
  <si>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</si>
  <si>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</si>
  <si>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</si>
  <si>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</si>
  <si>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</si>
  <si>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</si>
  <si>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</si>
  <si>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</si>
  <si>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</si>
  <si>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</si>
  <si>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</si>
  <si>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</si>
  <si>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</si>
  <si>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</si>
  <si>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</si>
  <si>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</si>
  <si>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</si>
  <si>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</si>
  <si>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</si>
  <si>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</si>
  <si>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</si>
  <si>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</si>
  <si>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</si>
  <si>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</si>
  <si>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</si>
  <si>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</si>
  <si>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</si>
  <si>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</si>
  <si>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</si>
  <si>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</si>
  <si>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</si>
  <si>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</si>
  <si>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</si>
  <si>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</si>
  <si>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</si>
  <si>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</si>
  <si>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</si>
  <si>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</si>
  <si>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</si>
  <si>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</si>
  <si>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</si>
  <si>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</si>
  <si>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</si>
  <si>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</si>
  <si>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</si>
  <si>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</si>
  <si>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</si>
  <si>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</si>
  <si>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</si>
  <si>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</si>
  <si>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</si>
  <si>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</si>
  <si>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</si>
  <si>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</si>
  <si>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</si>
  <si>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</si>
  <si>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</si>
  <si>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</si>
  <si>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</si>
  <si>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</si>
  <si>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</si>
  <si>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</si>
  <si>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</si>
  <si>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</si>
  <si>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</si>
  <si>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</si>
  <si>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</si>
  <si>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</si>
  <si>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</si>
  <si>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</si>
  <si>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</si>
  <si>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</si>
  <si>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</si>
  <si>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</si>
  <si>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</si>
  <si>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</si>
  <si>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</si>
  <si>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</si>
  <si>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</si>
  <si>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</si>
  <si>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</si>
  <si>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</si>
  <si>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</si>
  <si>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</si>
  <si>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</si>
  <si>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</si>
  <si>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</si>
  <si>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</si>
  <si>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</si>
  <si>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</si>
  <si>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</si>
  <si>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</si>
  <si>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</si>
  <si>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</si>
  <si>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</si>
  <si>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</si>
  <si>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</si>
  <si>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</si>
  <si>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</si>
  <si>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</si>
  <si>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</si>
  <si>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</si>
  <si>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</si>
  <si>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</si>
  <si>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</si>
  <si>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</si>
  <si>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</si>
  <si>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</si>
  <si>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</si>
  <si>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</si>
  <si>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</si>
  <si>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</si>
  <si>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</si>
  <si>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</si>
  <si>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</si>
  <si>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</si>
  <si>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</si>
  <si>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</si>
  <si>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</si>
  <si>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</si>
  <si>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</si>
  <si>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</si>
  <si>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</si>
  <si>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</si>
  <si>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</si>
  <si>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</si>
  <si>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</si>
  <si>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</si>
  <si>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</si>
  <si>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</si>
  <si>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</si>
  <si>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</si>
  <si>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</si>
  <si>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</si>
  <si>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</si>
  <si>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</si>
  <si>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</si>
  <si>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</si>
  <si>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</si>
  <si>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</si>
  <si>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</si>
  <si>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</si>
  <si>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</si>
  <si>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</si>
  <si>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</si>
  <si>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</si>
  <si>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</si>
  <si>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</si>
  <si>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</si>
  <si>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</si>
  <si>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</si>
  <si>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</si>
  <si>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</si>
  <si>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</si>
  <si>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</si>
  <si>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</si>
  <si>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</si>
  <si>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</si>
  <si>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</si>
  <si>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</si>
  <si>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</si>
  <si>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</si>
  <si>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</si>
  <si>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</si>
  <si>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</si>
  <si>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</si>
  <si>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</si>
  <si>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</si>
  <si>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</si>
  <si>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</si>
  <si>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</si>
  <si>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</si>
  <si>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</si>
  <si>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</si>
  <si>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</si>
  <si>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</si>
  <si>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</si>
  <si>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</si>
  <si>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</si>
  <si>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</si>
  <si>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</si>
  <si>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</si>
  <si>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</si>
  <si>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</si>
  <si>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</si>
  <si>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</si>
  <si>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</si>
  <si>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</si>
  <si>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</si>
  <si>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</si>
  <si>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</si>
  <si>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</si>
  <si>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</si>
  <si>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</si>
  <si>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</si>
  <si>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</si>
  <si>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</si>
  <si>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</si>
  <si>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</si>
  <si>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</si>
  <si>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</si>
  <si>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</si>
  <si>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</si>
  <si>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</si>
  <si>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</si>
  <si>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</si>
  <si>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</si>
  <si>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</si>
  <si>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</si>
  <si>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</si>
  <si>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</si>
  <si>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</si>
  <si>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</si>
  <si>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</si>
  <si>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</si>
  <si>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</si>
  <si>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</si>
  <si>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</si>
  <si>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</si>
  <si>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</si>
  <si>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</si>
  <si>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</si>
  <si>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</si>
  <si>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</si>
  <si>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</si>
  <si>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</si>
  <si>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</si>
  <si>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</si>
  <si>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</si>
  <si>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</si>
  <si>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</si>
  <si>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</si>
  <si>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</si>
  <si>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</si>
  <si>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</si>
  <si>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</si>
  <si>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</si>
  <si>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</si>
  <si>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</si>
  <si>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</si>
  <si>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</si>
  <si>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</si>
  <si>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</si>
  <si>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</si>
  <si>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</si>
  <si>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</si>
  <si>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</si>
  <si>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</si>
  <si>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</si>
  <si>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</si>
  <si>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</si>
  <si>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</si>
  <si>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</si>
  <si>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</si>
  <si>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</si>
  <si>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</si>
  <si>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</si>
  <si>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</si>
  <si>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</si>
  <si>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</si>
  <si>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</si>
  <si>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</si>
  <si>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</si>
  <si>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</si>
  <si>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</si>
  <si>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</si>
  <si>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</si>
  <si>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</si>
  <si>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</si>
  <si>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</si>
  <si>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</si>
  <si>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</si>
  <si>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</si>
  <si>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</si>
  <si>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</si>
  <si>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</si>
  <si>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</si>
  <si>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</si>
  <si>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</si>
  <si>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</si>
  <si>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</si>
  <si>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</si>
  <si>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</si>
  <si>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</si>
  <si>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</si>
  <si>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</si>
  <si>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</si>
  <si>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</si>
  <si>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</si>
  <si>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</si>
  <si>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</si>
  <si>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</si>
  <si>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</si>
  <si>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</si>
  <si>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</si>
  <si>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</si>
  <si>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</si>
  <si>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</si>
  <si>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</si>
  <si>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</si>
  <si>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</si>
  <si>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</si>
  <si>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</si>
  <si>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</si>
  <si>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</si>
  <si>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</si>
  <si>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</si>
  <si>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</si>
  <si>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</si>
  <si>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</si>
  <si>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</si>
  <si>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</si>
  <si>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</si>
  <si>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</si>
  <si>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</si>
  <si>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</si>
  <si>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</si>
  <si>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</si>
  <si>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</si>
  <si>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</si>
  <si>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</si>
  <si>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</si>
  <si>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</si>
  <si>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</si>
  <si>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</si>
  <si>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</si>
  <si>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</si>
  <si>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</si>
  <si>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</si>
  <si>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</si>
  <si>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</si>
  <si>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</si>
  <si>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</si>
  <si>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</si>
  <si>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</si>
  <si>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</si>
  <si>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</si>
  <si>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</si>
  <si>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</si>
  <si>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</si>
  <si>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</si>
  <si>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</si>
  <si>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</si>
  <si>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</si>
  <si>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</si>
  <si>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</si>
  <si>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</si>
  <si>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</si>
  <si>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</si>
  <si>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</si>
  <si>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</si>
  <si>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</si>
  <si>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</si>
  <si>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</si>
  <si>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</si>
  <si>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</si>
  <si>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</si>
  <si>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</si>
  <si>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</si>
  <si>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</si>
  <si>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</si>
  <si>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</si>
  <si>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</si>
  <si>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</si>
  <si>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</si>
  <si>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</si>
  <si>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</si>
  <si>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</si>
  <si>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</si>
  <si>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</si>
  <si>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</si>
  <si>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</si>
  <si>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</si>
  <si>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</si>
  <si>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</si>
  <si>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</si>
  <si>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</si>
  <si>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</si>
  <si>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</si>
  <si>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</si>
  <si>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</si>
  <si>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</si>
  <si>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</si>
  <si>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</si>
  <si>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</si>
  <si>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</si>
  <si>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</si>
  <si>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</si>
  <si>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</si>
  <si>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</si>
  <si>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</si>
  <si>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</si>
  <si>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</si>
  <si>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</si>
  <si>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</si>
  <si>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</si>
  <si>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</si>
  <si>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</si>
  <si>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</si>
  <si>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</si>
  <si>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</si>
  <si>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</si>
  <si>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</si>
  <si>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</si>
  <si>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</si>
  <si>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</si>
  <si>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</si>
  <si>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</si>
  <si>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</si>
  <si>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</si>
  <si>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</si>
  <si>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</si>
  <si>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</si>
  <si>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</si>
  <si>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</si>
  <si>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</si>
  <si>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</si>
  <si>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</si>
  <si>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</si>
  <si>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</si>
  <si>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</si>
  <si>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</si>
  <si>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</si>
  <si>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</si>
  <si>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</si>
  <si>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</si>
  <si>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</si>
  <si>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</si>
  <si>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</si>
  <si>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</si>
  <si>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</si>
  <si>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</si>
  <si>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</si>
  <si>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</si>
  <si>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</si>
  <si>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</si>
  <si>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</si>
  <si>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</si>
  <si>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</si>
  <si>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</si>
  <si>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</si>
  <si>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</si>
  <si>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</si>
  <si>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</si>
  <si>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</si>
  <si>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</si>
  <si>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</si>
  <si>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</si>
  <si>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</si>
  <si>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</si>
  <si>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</si>
  <si>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</si>
  <si>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</si>
  <si>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</si>
  <si>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</si>
  <si>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</si>
  <si>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</si>
  <si>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</si>
  <si>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</si>
  <si>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</si>
  <si>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</si>
  <si>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</si>
  <si>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</si>
  <si>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</si>
  <si>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</si>
  <si>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</si>
  <si>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</si>
  <si>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</si>
  <si>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</si>
  <si>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</si>
  <si>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</si>
  <si>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</si>
  <si>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</si>
  <si>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</si>
  <si>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</si>
  <si>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</si>
  <si>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</si>
  <si>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</si>
  <si>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</si>
  <si>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</si>
  <si>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</si>
  <si>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</si>
  <si>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</si>
  <si>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</si>
  <si>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</si>
  <si>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</si>
  <si>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</si>
  <si>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</si>
  <si>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</si>
  <si>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</si>
  <si>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</si>
  <si>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</si>
  <si>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</si>
  <si>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</si>
  <si>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</si>
  <si>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</si>
  <si>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</si>
  <si>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</si>
  <si>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</si>
  <si>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</si>
  <si>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</si>
  <si>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</si>
  <si>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</si>
  <si>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</si>
  <si>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</si>
  <si>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</si>
  <si>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</si>
  <si>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</si>
  <si>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</si>
  <si>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</si>
  <si>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</si>
  <si>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</si>
  <si>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</si>
  <si>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</si>
  <si>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</si>
  <si>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</si>
  <si>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</si>
  <si>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</si>
  <si>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</si>
  <si>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</si>
  <si>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</si>
  <si>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</si>
  <si>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</si>
  <si>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</si>
  <si>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</si>
  <si>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</si>
  <si>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</si>
  <si>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</si>
  <si>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</si>
  <si>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</si>
  <si>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</si>
  <si>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</si>
  <si>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</si>
  <si>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</si>
  <si>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</si>
  <si>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</si>
  <si>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</si>
  <si>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</si>
  <si>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</si>
  <si>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</si>
  <si>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</si>
  <si>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</si>
  <si>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</si>
  <si>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</si>
  <si>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</si>
  <si>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</si>
  <si>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</si>
  <si>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</si>
  <si>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</si>
  <si>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</si>
  <si>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</si>
  <si>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</si>
  <si>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</si>
  <si>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</si>
  <si>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</si>
  <si>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</si>
  <si>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</si>
  <si>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</si>
  <si>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</si>
  <si>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</si>
  <si>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</si>
  <si>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</si>
  <si>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</si>
  <si>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</si>
  <si>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</si>
  <si>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</si>
  <si>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</si>
  <si>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</si>
  <si>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</si>
  <si>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</si>
  <si>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</si>
  <si>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</si>
  <si>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</si>
  <si>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</si>
  <si>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</si>
  <si>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</si>
  <si>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</si>
  <si>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</si>
  <si>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</si>
  <si>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</si>
  <si>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</si>
  <si>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</si>
  <si>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</si>
  <si>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</si>
  <si>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</si>
  <si>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</si>
  <si>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</si>
  <si>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</si>
  <si>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</si>
  <si>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</si>
  <si>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</si>
  <si>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</si>
  <si>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</si>
  <si>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</si>
  <si>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</si>
  <si>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</si>
  <si>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</si>
  <si>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</si>
  <si>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</si>
  <si>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</si>
  <si>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</si>
  <si>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</si>
  <si>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</si>
  <si>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</si>
  <si>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</si>
  <si>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</si>
  <si>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</si>
  <si>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</si>
  <si>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</si>
  <si>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</si>
  <si>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</si>
  <si>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</si>
  <si>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</si>
  <si>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</si>
  <si>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</si>
  <si>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</si>
  <si>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</si>
  <si>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</si>
  <si>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</si>
  <si>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</si>
  <si>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</si>
  <si>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</si>
  <si>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</si>
  <si>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</si>
  <si>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</si>
  <si>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</si>
  <si>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</si>
  <si>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</si>
  <si>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</si>
  <si>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</si>
  <si>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</si>
  <si>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</si>
  <si>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</si>
  <si>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</si>
  <si>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</si>
  <si>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</si>
  <si>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</si>
  <si>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</si>
  <si>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</si>
  <si>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</si>
  <si>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</si>
  <si>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</si>
  <si>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</si>
  <si>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</si>
  <si>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</si>
  <si>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</si>
  <si>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</si>
  <si>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</si>
  <si>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</si>
  <si>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</si>
  <si>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</si>
  <si>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</si>
  <si>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</si>
  <si>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</si>
  <si>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</si>
  <si>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</si>
  <si>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</si>
  <si>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</si>
  <si>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</si>
  <si>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</si>
  <si>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</si>
  <si>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</si>
  <si>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</si>
  <si>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</si>
  <si>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</si>
  <si>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</si>
  <si>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</si>
  <si>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</si>
  <si>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</si>
  <si>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</si>
  <si>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</si>
  <si>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</si>
  <si>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</si>
  <si>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</si>
  <si>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</si>
  <si>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</si>
  <si>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</si>
  <si>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</si>
  <si>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</si>
  <si>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</si>
  <si>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</si>
  <si>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</si>
  <si>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</si>
  <si>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</si>
  <si>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</si>
  <si>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</si>
  <si>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</si>
  <si>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</si>
  <si>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</si>
  <si>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</si>
  <si>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</si>
  <si>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</si>
  <si>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</si>
  <si>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</si>
  <si>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</si>
  <si>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</si>
  <si>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</si>
  <si>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</si>
  <si>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</si>
  <si>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</si>
  <si>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</si>
  <si>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</si>
  <si>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</si>
  <si>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</si>
  <si>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</si>
  <si>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</si>
  <si>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</si>
  <si>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</si>
  <si>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</si>
  <si>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</si>
  <si>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</si>
  <si>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</si>
  <si>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</si>
  <si>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</si>
  <si>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</si>
  <si>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</si>
  <si>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</si>
  <si>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</si>
  <si>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</si>
  <si>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</si>
  <si>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</si>
  <si>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</si>
  <si>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</si>
  <si>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</si>
  <si>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</si>
  <si>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</si>
  <si>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</si>
  <si>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</si>
  <si>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</si>
  <si>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</si>
  <si>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</si>
  <si>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</si>
  <si>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</si>
  <si>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</si>
  <si>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</si>
  <si>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</si>
  <si>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</si>
  <si>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</si>
  <si>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</si>
  <si>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</si>
  <si>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</si>
  <si>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</si>
  <si>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</si>
  <si>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</si>
  <si>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</si>
  <si>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</si>
  <si>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</si>
  <si>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</si>
  <si>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</si>
  <si>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</si>
  <si>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</si>
  <si>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</si>
  <si>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</si>
  <si>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</si>
  <si>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</si>
  <si>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</si>
  <si>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</si>
  <si>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</si>
  <si>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</si>
  <si>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</si>
  <si>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</si>
  <si>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</si>
  <si>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</si>
  <si>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</si>
  <si>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</si>
  <si>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</si>
  <si>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</si>
  <si>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</si>
  <si>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</si>
  <si>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</si>
  <si>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</si>
  <si>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</si>
  <si>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</si>
  <si>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</si>
  <si>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</si>
  <si>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</si>
  <si>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</si>
  <si>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</si>
  <si>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</si>
  <si>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</si>
  <si>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</si>
  <si>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</si>
  <si>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</si>
  <si>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</si>
  <si>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</si>
  <si>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</si>
  <si>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</si>
  <si>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</si>
  <si>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</si>
  <si>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</si>
  <si>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</si>
  <si>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</si>
  <si>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</si>
  <si>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</si>
  <si>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</si>
  <si>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</si>
  <si>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</si>
  <si>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</si>
  <si>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</si>
  <si>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</si>
  <si>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</si>
  <si>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</si>
  <si>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</si>
  <si>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</si>
  <si>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</si>
  <si>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</si>
  <si>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</si>
  <si>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</si>
  <si>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</si>
  <si>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</si>
  <si>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</si>
  <si>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</si>
  <si>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</si>
  <si>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</si>
  <si>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</si>
  <si>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</si>
  <si>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</si>
  <si>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</si>
  <si>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</si>
  <si>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</si>
  <si>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</si>
  <si>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</si>
  <si>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</si>
  <si>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</si>
  <si>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</si>
  <si>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</si>
  <si>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</si>
  <si>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</si>
  <si>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</si>
  <si>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</si>
  <si>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</si>
  <si>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</si>
  <si>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</si>
  <si>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</si>
  <si>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</si>
  <si>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</si>
  <si>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</si>
  <si>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</si>
  <si>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</si>
  <si>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</si>
  <si>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</si>
  <si>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</si>
  <si>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</si>
  <si>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</si>
  <si>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</si>
  <si>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</si>
  <si>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</si>
  <si>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</si>
  <si>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</si>
  <si>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</si>
  <si>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</si>
  <si>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</si>
  <si>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</si>
  <si>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</si>
  <si>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</si>
  <si>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</si>
  <si>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</si>
  <si>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</si>
  <si>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</si>
  <si>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</si>
  <si>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</si>
  <si>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</si>
  <si>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</si>
  <si>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</si>
  <si>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</si>
  <si>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</si>
  <si>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</si>
  <si>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</si>
  <si>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</si>
  <si>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</si>
  <si>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</si>
  <si>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</si>
  <si>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</si>
  <si>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</si>
  <si>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</si>
  <si>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</si>
  <si>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</si>
  <si>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</si>
  <si>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</si>
  <si>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</si>
  <si>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</si>
  <si>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</si>
  <si>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</si>
  <si>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</si>
  <si>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</si>
  <si>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</si>
  <si>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</si>
  <si>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</si>
  <si>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</si>
  <si>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</si>
  <si>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</si>
  <si>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</si>
  <si>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</si>
  <si>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</si>
  <si>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</si>
  <si>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</si>
  <si>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</si>
  <si>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</si>
  <si>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</si>
  <si>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</si>
  <si>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</si>
  <si>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</si>
  <si>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</si>
  <si>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</si>
  <si>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</si>
  <si>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</si>
  <si>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</si>
  <si>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</si>
  <si>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</si>
  <si>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</si>
  <si>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</si>
  <si>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</si>
  <si>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</si>
  <si>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</si>
  <si>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</si>
  <si>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</si>
  <si>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</si>
  <si>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</si>
  <si>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</si>
  <si>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</si>
  <si>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</si>
  <si>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</si>
  <si>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</si>
  <si>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</si>
  <si>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</si>
  <si>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</si>
  <si>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</si>
  <si>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</si>
  <si>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</si>
  <si>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</si>
  <si>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</si>
  <si>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</si>
  <si>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</si>
  <si>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</si>
  <si>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</si>
  <si>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</si>
  <si>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</si>
  <si>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</si>
  <si>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</si>
  <si>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</si>
  <si>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</si>
  <si>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</si>
  <si>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</si>
  <si>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</si>
  <si>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</si>
  <si>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</si>
  <si>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</si>
  <si>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</si>
  <si>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</si>
  <si>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</si>
  <si>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</si>
  <si>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</si>
  <si>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</si>
  <si>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</si>
  <si>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</si>
  <si>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</si>
  <si>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</si>
  <si>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</si>
  <si>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</si>
  <si>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</si>
  <si>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</si>
  <si>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</si>
  <si>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</si>
  <si>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</si>
  <si>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</si>
  <si>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</si>
  <si>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</si>
  <si>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</si>
  <si>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</si>
  <si>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</si>
  <si>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</si>
  <si>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</si>
  <si>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</si>
  <si>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</si>
  <si>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</si>
  <si>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</si>
  <si>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</si>
  <si>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</si>
  <si>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</si>
  <si>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</si>
  <si>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</si>
  <si>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</si>
  <si>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</si>
  <si>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</si>
  <si>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</si>
  <si>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</si>
  <si>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</si>
  <si>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</si>
  <si>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</si>
  <si>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</si>
  <si>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</si>
  <si>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</si>
  <si>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</si>
  <si>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</si>
  <si>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</si>
  <si>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</si>
  <si>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</si>
  <si>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</si>
  <si>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</si>
  <si>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</si>
  <si>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</si>
  <si>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</si>
  <si>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</si>
  <si>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</si>
  <si>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</si>
  <si>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</si>
  <si>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</si>
  <si>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</si>
  <si>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</si>
  <si>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</si>
  <si>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</si>
  <si>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</si>
  <si>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</si>
  <si>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</si>
  <si>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</si>
  <si>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</si>
  <si>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</si>
  <si>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</si>
  <si>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</si>
  <si>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</si>
  <si>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</si>
  <si>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</si>
  <si>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</si>
  <si>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</si>
  <si>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</si>
  <si>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</si>
  <si>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</si>
  <si>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</si>
  <si>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</si>
  <si>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</si>
  <si>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</si>
  <si>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</si>
  <si>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</si>
  <si>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</si>
  <si>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</si>
  <si>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</si>
  <si>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</si>
  <si>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</si>
  <si>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</si>
  <si>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</si>
  <si>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</si>
  <si>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</si>
  <si>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</si>
  <si>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</si>
  <si>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</si>
  <si>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</si>
  <si>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</si>
  <si>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</si>
  <si>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</si>
  <si>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</si>
  <si>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</si>
  <si>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</si>
  <si>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</si>
  <si>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</si>
  <si>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</si>
  <si>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</si>
  <si>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</si>
  <si>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</si>
  <si>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</si>
  <si>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</si>
  <si>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</si>
  <si>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</si>
  <si>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</si>
  <si>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</si>
  <si>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</si>
  <si>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</si>
  <si>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</si>
  <si>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</si>
  <si>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</si>
  <si>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</si>
  <si>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</si>
  <si>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</si>
  <si>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</si>
  <si>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</si>
  <si>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</si>
  <si>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</si>
  <si>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</si>
  <si>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</si>
  <si>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</si>
  <si>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</si>
  <si>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</si>
  <si>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</si>
  <si>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</si>
  <si>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</si>
  <si>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</si>
  <si>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</si>
  <si>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</si>
  <si>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</si>
  <si>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</si>
  <si>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</si>
  <si>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</si>
  <si>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</si>
  <si>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</si>
  <si>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</si>
  <si>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</si>
  <si>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</si>
  <si>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</si>
  <si>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</si>
  <si>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</si>
  <si>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</si>
  <si>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</si>
  <si>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</si>
  <si>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</si>
  <si>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</si>
  <si>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</si>
  <si>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</si>
  <si>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</si>
  <si>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</si>
  <si>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</si>
  <si>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</si>
  <si>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</si>
  <si>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</si>
  <si>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</si>
  <si>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</si>
  <si>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</si>
  <si>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</si>
  <si>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</si>
  <si>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</si>
  <si>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</si>
  <si>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</si>
  <si>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</si>
  <si>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</si>
  <si>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</si>
  <si>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</si>
  <si>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</si>
  <si>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</si>
  <si>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</si>
  <si>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</si>
  <si>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</si>
  <si>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</si>
  <si>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</si>
  <si>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</si>
  <si>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</si>
  <si>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</si>
  <si>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</si>
  <si>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</si>
  <si>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</si>
  <si>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</si>
  <si>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</si>
  <si>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</si>
  <si>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</si>
  <si>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</si>
  <si>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</si>
  <si>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</si>
  <si>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</si>
  <si>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</si>
  <si>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</si>
  <si>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</si>
  <si>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</si>
  <si>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</si>
  <si>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</si>
  <si>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</si>
  <si>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</si>
  <si>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</si>
  <si>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</si>
  <si>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</si>
  <si>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</si>
  <si>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</si>
  <si>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</si>
  <si>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</si>
  <si>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</si>
  <si>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</si>
  <si>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</si>
  <si>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</si>
  <si>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</si>
  <si>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</si>
  <si>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</si>
  <si>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</si>
  <si>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</si>
  <si>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</si>
  <si>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</si>
  <si>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</si>
  <si>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</si>
  <si>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</si>
  <si>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</si>
  <si>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</si>
  <si>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</si>
  <si>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</si>
  <si>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</si>
  <si>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</si>
  <si>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</si>
  <si>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</si>
  <si>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</si>
  <si>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</si>
  <si>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</si>
  <si>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</si>
  <si>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</si>
  <si>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</si>
  <si>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</si>
  <si>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</si>
  <si>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</si>
  <si>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</si>
  <si>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</si>
  <si>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</si>
  <si>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</si>
  <si>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</si>
  <si>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</si>
  <si>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</si>
  <si>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</si>
  <si>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</si>
  <si>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</si>
  <si>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</si>
  <si>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</si>
  <si>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</si>
  <si>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</si>
  <si>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</si>
  <si>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</si>
  <si>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</si>
  <si>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</si>
  <si>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</si>
  <si>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</si>
  <si>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</si>
  <si>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</si>
  <si>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</si>
  <si>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</si>
  <si>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</si>
  <si>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</si>
  <si>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</si>
  <si>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</si>
  <si>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</si>
  <si>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</si>
  <si>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</si>
  <si>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</si>
  <si>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</si>
  <si>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</si>
  <si>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</si>
  <si>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</si>
  <si>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</si>
  <si>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</si>
  <si>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</si>
  <si>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</si>
  <si>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</si>
  <si>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</si>
  <si>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</si>
  <si>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</si>
  <si>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</si>
  <si>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</si>
  <si>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</si>
  <si>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</si>
  <si>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</si>
  <si>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</si>
  <si>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</si>
  <si>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</si>
  <si>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</si>
  <si>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</si>
  <si>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</si>
  <si>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</si>
  <si>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</si>
  <si>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</si>
  <si>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</si>
  <si>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</si>
  <si>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</si>
  <si>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</si>
  <si>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</si>
  <si>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</si>
  <si>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</si>
  <si>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</si>
  <si>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</si>
  <si>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</si>
  <si>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</si>
  <si>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</si>
  <si>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</si>
  <si>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</si>
  <si>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</si>
  <si>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</si>
  <si>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</si>
  <si>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</si>
  <si>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</si>
  <si>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</si>
  <si>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</si>
  <si>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</si>
  <si>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</si>
  <si>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</si>
  <si>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</si>
  <si>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</si>
  <si>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</si>
  <si>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</si>
  <si>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</si>
  <si>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</si>
  <si>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</si>
  <si>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</si>
  <si>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</si>
  <si>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</si>
  <si>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</si>
  <si>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</si>
  <si>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</si>
  <si>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</si>
  <si>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</si>
  <si>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</si>
  <si>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</si>
  <si>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</si>
  <si>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</si>
  <si>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</si>
  <si>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</si>
  <si>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</si>
  <si>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</si>
  <si>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</si>
  <si>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</si>
  <si>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</si>
  <si>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</si>
  <si>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</si>
  <si>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</si>
  <si>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</si>
  <si>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</si>
  <si>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</si>
  <si>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</si>
  <si>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</si>
  <si>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</si>
  <si>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</si>
  <si>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</si>
  <si>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</si>
  <si>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</si>
  <si>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</si>
  <si>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</si>
  <si>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</si>
  <si>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</si>
  <si>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</si>
  <si>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</si>
  <si>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</si>
  <si>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</si>
  <si>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</si>
  <si>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</si>
  <si>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</si>
  <si>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</si>
  <si>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</si>
  <si>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</si>
  <si>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</si>
  <si>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</si>
  <si>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</si>
  <si>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</si>
  <si>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</si>
  <si>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</si>
  <si>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</si>
  <si>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</si>
  <si>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</si>
  <si>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</si>
  <si>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</si>
  <si>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</si>
  <si>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</si>
  <si>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</si>
  <si>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</si>
  <si>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</si>
  <si>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</si>
  <si>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</si>
  <si>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</si>
  <si>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</si>
  <si>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</si>
  <si>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</si>
  <si>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</si>
  <si>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</si>
  <si>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</si>
  <si>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</si>
  <si>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</si>
  <si>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</si>
  <si>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</si>
  <si>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</si>
  <si>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</si>
  <si>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</si>
  <si>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</si>
  <si>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</si>
  <si>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</si>
  <si>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</si>
  <si>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</si>
  <si>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</si>
  <si>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</si>
  <si>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</si>
  <si>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</si>
  <si>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</si>
  <si>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</si>
  <si>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</si>
  <si>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</si>
  <si>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</si>
  <si>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</si>
  <si>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</si>
  <si>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</si>
  <si>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</si>
  <si>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</si>
  <si>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</si>
  <si>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</si>
  <si>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</si>
  <si>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</si>
  <si>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</si>
  <si>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</si>
  <si>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</si>
  <si>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</si>
  <si>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</si>
  <si>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</si>
  <si>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</si>
  <si>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</si>
  <si>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</si>
  <si>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</si>
  <si>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</si>
  <si>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</si>
  <si>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</si>
  <si>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</si>
  <si>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</si>
  <si>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</si>
  <si>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</si>
  <si>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</si>
  <si>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</si>
  <si>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</si>
  <si>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</si>
  <si>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</si>
  <si>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</si>
  <si>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</si>
  <si>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</si>
  <si>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</si>
  <si>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</si>
  <si>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</si>
  <si>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</si>
  <si>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</si>
  <si>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</si>
  <si>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</si>
  <si>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</si>
  <si>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</si>
  <si>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</si>
  <si>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</si>
  <si>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</si>
  <si>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</si>
  <si>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</si>
  <si>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</si>
  <si>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</si>
  <si>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</si>
  <si>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</si>
  <si>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</si>
  <si>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</si>
  <si>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</si>
  <si>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</si>
  <si>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</si>
  <si>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</si>
  <si>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</si>
  <si>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</si>
  <si>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</si>
  <si>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</si>
  <si>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</si>
  <si>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</si>
  <si>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</si>
  <si>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</si>
  <si>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</si>
  <si>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</si>
  <si>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</si>
  <si>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</si>
  <si>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</si>
  <si>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</si>
  <si>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</si>
  <si>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</si>
  <si>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</si>
  <si>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</si>
  <si>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</si>
  <si>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</si>
  <si>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</si>
  <si>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</si>
  <si>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</si>
  <si>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</si>
  <si>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</si>
  <si>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</si>
  <si>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</si>
  <si>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</si>
  <si>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</si>
  <si>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</si>
  <si>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</si>
  <si>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</si>
  <si>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</si>
  <si>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</si>
  <si>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</si>
  <si>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</si>
  <si>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</si>
  <si>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</si>
  <si>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</si>
  <si>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</si>
  <si>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</si>
  <si>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</si>
  <si>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</si>
  <si>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</si>
  <si>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</si>
  <si>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</si>
  <si>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</si>
  <si>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</si>
  <si>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</si>
  <si>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</si>
  <si>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</si>
  <si>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</si>
  <si>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</si>
  <si>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</si>
  <si>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</si>
  <si>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</si>
  <si>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</si>
  <si>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</si>
  <si>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</si>
  <si>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</si>
  <si>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</si>
  <si>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</si>
  <si>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</si>
  <si>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</si>
  <si>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</si>
  <si>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</si>
  <si>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</si>
  <si>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</si>
  <si>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</si>
  <si>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</si>
  <si>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</si>
  <si>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</si>
  <si>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</si>
  <si>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</si>
  <si>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</si>
  <si>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</si>
  <si>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</si>
  <si>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</si>
  <si>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</si>
  <si>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</si>
  <si>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</si>
  <si>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</si>
  <si>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</si>
  <si>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</si>
  <si>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</si>
  <si>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</si>
  <si>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</si>
  <si>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</si>
  <si>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</si>
  <si>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</si>
  <si>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</si>
  <si>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</si>
  <si>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</si>
  <si>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</si>
  <si>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</si>
  <si>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</si>
  <si>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</si>
  <si>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</si>
  <si>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</si>
  <si>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</si>
  <si>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</si>
  <si>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</si>
  <si>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</si>
  <si>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</si>
  <si>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</si>
  <si>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</si>
  <si>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</si>
  <si>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</si>
  <si>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</si>
  <si>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</si>
  <si>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</si>
  <si>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</si>
  <si>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</si>
  <si>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</si>
  <si>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</si>
  <si>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</si>
  <si>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</si>
  <si>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</si>
  <si>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</si>
  <si>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</si>
  <si>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</si>
  <si>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</si>
  <si>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</si>
  <si>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</si>
  <si>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</si>
  <si>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</si>
  <si>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</si>
  <si>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</si>
  <si>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</si>
  <si>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</si>
  <si>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</si>
  <si>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</si>
  <si>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</si>
  <si>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</si>
  <si>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</si>
  <si>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</si>
  <si>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</si>
  <si>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</si>
  <si>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</si>
  <si>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</si>
  <si>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</si>
  <si>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</si>
  <si>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</si>
  <si>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</si>
  <si>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</si>
  <si>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</si>
  <si>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</si>
  <si>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</si>
  <si>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</si>
  <si>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</si>
  <si>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</si>
  <si>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</si>
  <si>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</si>
  <si>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</si>
  <si>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</si>
  <si>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</si>
  <si>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</si>
  <si>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</si>
  <si>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</si>
  <si>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</si>
  <si>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</si>
  <si>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</si>
  <si>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</si>
  <si>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</si>
  <si>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</si>
  <si>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</si>
  <si>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</si>
  <si>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</si>
  <si>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</si>
  <si>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</si>
  <si>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</si>
  <si>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</si>
  <si>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</si>
  <si>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</si>
  <si>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</si>
  <si>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</si>
  <si>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</si>
  <si>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</si>
  <si>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</si>
  <si>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</si>
  <si>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</si>
  <si>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</si>
  <si>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</si>
  <si>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</si>
  <si>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</si>
  <si>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</si>
  <si>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</si>
  <si>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</si>
  <si>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</si>
  <si>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</si>
  <si>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</si>
  <si>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</si>
  <si>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</si>
  <si>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</si>
  <si>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</si>
  <si>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</si>
  <si>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</si>
  <si>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</si>
  <si>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</si>
  <si>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</si>
  <si>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</si>
  <si>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</si>
  <si>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</si>
  <si>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</si>
  <si>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</si>
  <si>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</si>
  <si>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</si>
  <si>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</si>
  <si>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</si>
  <si>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</si>
  <si>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</si>
  <si>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</si>
  <si>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</si>
  <si>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</si>
  <si>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</si>
  <si>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</si>
  <si>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</si>
  <si>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</si>
  <si>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</si>
  <si>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</si>
  <si>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</si>
  <si>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</si>
  <si>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</si>
  <si>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</si>
  <si>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</si>
  <si>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</si>
  <si>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</si>
  <si>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</si>
  <si>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</si>
  <si>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</si>
  <si>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</si>
  <si>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</si>
  <si>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</si>
  <si>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</si>
  <si>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</si>
  <si>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</si>
  <si>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</si>
  <si>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</si>
  <si>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</si>
  <si>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</si>
  <si>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</si>
  <si>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</si>
  <si>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</si>
  <si>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</si>
  <si>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</si>
  <si>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</si>
  <si>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</si>
  <si>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</si>
  <si>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</si>
  <si>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</si>
  <si>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</si>
  <si>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</si>
  <si>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</si>
  <si>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</si>
  <si>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</si>
  <si>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</si>
  <si>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</si>
  <si>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</si>
  <si>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</si>
  <si>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</si>
  <si>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</si>
  <si>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</si>
  <si>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</si>
  <si>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</si>
  <si>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</si>
  <si>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</si>
  <si>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</si>
  <si>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</si>
  <si>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</si>
  <si>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</si>
  <si>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</si>
  <si>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</si>
  <si>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</si>
  <si>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</si>
  <si>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</si>
  <si>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</si>
  <si>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</si>
  <si>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</si>
  <si>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</si>
  <si>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</si>
  <si>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</si>
  <si>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</si>
  <si>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</si>
  <si>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</si>
  <si>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</si>
  <si>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</si>
  <si>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</si>
  <si>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</si>
  <si>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</si>
  <si>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</si>
  <si>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</si>
  <si>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</si>
  <si>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</si>
  <si>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</si>
  <si>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</si>
  <si>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</si>
  <si>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</si>
  <si>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</si>
  <si>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</si>
  <si>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</si>
  <si>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</si>
  <si>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</si>
  <si>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</si>
  <si>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</si>
  <si>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</si>
  <si>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</si>
  <si>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</si>
  <si>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</si>
  <si>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</si>
  <si>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</si>
  <si>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</si>
  <si>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</si>
  <si>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</si>
  <si>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</si>
  <si>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</si>
  <si>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</si>
  <si>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</si>
  <si>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</si>
  <si>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</si>
  <si>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</si>
  <si>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</si>
  <si>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</si>
  <si>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</si>
  <si>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</si>
  <si>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</si>
  <si>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</si>
  <si>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</si>
  <si>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</si>
  <si>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</si>
  <si>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</si>
  <si>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</si>
  <si>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</si>
  <si>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</si>
  <si>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</si>
  <si>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</si>
  <si>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</si>
  <si>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</si>
  <si>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</si>
  <si>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</si>
  <si>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</si>
  <si>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</si>
  <si>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</si>
  <si>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</si>
  <si>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</si>
  <si>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</si>
  <si>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</si>
  <si>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</si>
  <si>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</si>
  <si>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</si>
  <si>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</si>
  <si>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</si>
  <si>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</si>
  <si>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</si>
  <si>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</si>
  <si>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</si>
  <si>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</si>
  <si>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</si>
  <si>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</si>
  <si>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</si>
  <si>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</si>
  <si>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</si>
  <si>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</si>
  <si>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</si>
  <si>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</si>
  <si>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</si>
  <si>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</si>
  <si>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</si>
  <si>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</si>
  <si>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</si>
  <si>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</si>
  <si>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</si>
  <si>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</si>
  <si>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</si>
  <si>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</si>
  <si>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</si>
  <si>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</si>
  <si>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</si>
  <si>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</si>
  <si>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</si>
  <si>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</si>
  <si>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</si>
  <si>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</si>
  <si>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</si>
  <si>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</si>
  <si>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</si>
  <si>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</si>
  <si>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</si>
  <si>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</si>
  <si>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</si>
  <si>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</si>
  <si>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</si>
  <si>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</si>
  <si>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</si>
  <si>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</si>
  <si>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</si>
  <si>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</si>
  <si>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</si>
  <si>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</si>
  <si>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</si>
  <si>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</si>
  <si>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</si>
  <si>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</si>
  <si>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</si>
  <si>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</si>
  <si>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</si>
  <si>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</si>
  <si>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</si>
  <si>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</si>
  <si>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</si>
  <si>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</si>
  <si>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</si>
  <si>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</si>
  <si>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</si>
  <si>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</si>
  <si>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</si>
  <si>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</si>
  <si>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</si>
  <si>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</si>
  <si>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</si>
  <si>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</si>
  <si>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</si>
  <si>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</si>
  <si>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</si>
  <si>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</si>
  <si>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</si>
  <si>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</si>
  <si>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</si>
  <si>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</si>
  <si>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</si>
  <si>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</si>
  <si>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</si>
  <si>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</si>
  <si>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</si>
  <si>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</si>
  <si>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</si>
  <si>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</si>
  <si>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</si>
  <si>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</si>
  <si>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</si>
  <si>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</si>
  <si>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</si>
  <si>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</si>
  <si>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</si>
  <si>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</si>
  <si>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</si>
  <si>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</si>
  <si>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</si>
  <si>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</si>
  <si>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</si>
  <si>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</si>
  <si>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</si>
  <si>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</si>
  <si>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</si>
  <si>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</si>
  <si>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</si>
  <si>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</si>
  <si>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</si>
  <si>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</si>
  <si>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</si>
  <si>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</si>
  <si>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</si>
  <si>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</si>
  <si>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</si>
  <si>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</si>
  <si>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</si>
  <si>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</si>
  <si>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</si>
  <si>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</si>
  <si>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</si>
  <si>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</si>
  <si>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</si>
  <si>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</si>
  <si>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</si>
  <si>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</si>
  <si>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</si>
  <si>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</si>
  <si>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</si>
  <si>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</si>
  <si>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</si>
  <si>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</si>
  <si>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</si>
  <si>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</si>
  <si>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</si>
  <si>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</si>
  <si>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</si>
  <si>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</si>
  <si>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</si>
  <si>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</si>
  <si>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</si>
  <si>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</si>
  <si>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</si>
  <si>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</si>
  <si>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</si>
  <si>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</si>
  <si>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</si>
  <si>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</si>
  <si>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</si>
  <si>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</si>
  <si>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</si>
  <si>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</si>
  <si>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</si>
  <si>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</si>
  <si>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</si>
  <si>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</si>
  <si>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</si>
  <si>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</si>
  <si>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</si>
  <si>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</si>
  <si>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</si>
  <si>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</si>
  <si>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</si>
  <si>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</si>
  <si>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</si>
  <si>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</si>
  <si>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</si>
  <si>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</si>
  <si>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</si>
  <si>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</si>
  <si>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</si>
  <si>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</si>
  <si>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</si>
  <si>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</si>
  <si>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</si>
  <si>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</si>
  <si>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</si>
  <si>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</si>
  <si>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</si>
  <si>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</si>
  <si>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</si>
  <si>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</si>
  <si>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</si>
  <si>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</si>
  <si>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</si>
  <si>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</si>
  <si>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</si>
  <si>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</si>
  <si>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</si>
  <si>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</si>
  <si>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</si>
  <si>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</si>
  <si>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</si>
  <si>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</si>
  <si>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</si>
  <si>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</si>
  <si>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</si>
  <si>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</si>
  <si>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</si>
  <si>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</si>
  <si>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</si>
  <si>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</si>
  <si>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</si>
  <si>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</si>
  <si>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</si>
  <si>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</si>
  <si>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</si>
  <si>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</si>
  <si>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</si>
  <si>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</si>
  <si>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</si>
  <si>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</si>
  <si>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</si>
  <si>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</si>
  <si>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</si>
  <si>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</si>
  <si>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</si>
  <si>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</si>
  <si>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</si>
  <si>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</si>
  <si>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</si>
  <si>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</si>
  <si>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</si>
  <si>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</si>
  <si>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</si>
  <si>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</si>
  <si>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</si>
  <si>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</si>
  <si>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</si>
  <si>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</si>
  <si>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</si>
  <si>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</si>
  <si>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</si>
  <si>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</si>
  <si>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</si>
  <si>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</si>
  <si>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</si>
  <si>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</si>
  <si>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</si>
  <si>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</si>
  <si>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</si>
  <si>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</si>
  <si>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</si>
  <si>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</si>
  <si>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</si>
  <si>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</si>
  <si>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</si>
  <si>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</si>
  <si>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</si>
  <si>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</si>
  <si>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</si>
  <si>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</si>
  <si>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</si>
  <si>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</si>
  <si>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</si>
  <si>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</si>
  <si>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</si>
  <si>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</si>
  <si>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</si>
  <si>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</si>
  <si>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</si>
  <si>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</si>
  <si>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</si>
  <si>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</si>
  <si>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</si>
  <si>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</si>
  <si>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</si>
  <si>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</si>
  <si>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</si>
  <si>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</si>
  <si>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</si>
  <si>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</si>
  <si>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</si>
  <si>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</si>
  <si>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</si>
  <si>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</si>
  <si>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</si>
  <si>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</si>
  <si>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</si>
  <si>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</si>
  <si>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</si>
  <si>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</si>
  <si>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</si>
  <si>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</si>
  <si>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</si>
  <si>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</si>
  <si>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</si>
  <si>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</si>
  <si>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</si>
  <si>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</si>
  <si>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</si>
  <si>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</si>
  <si>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</si>
  <si>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</si>
  <si>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</si>
  <si>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</si>
  <si>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</si>
  <si>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</si>
  <si>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</si>
  <si>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</si>
  <si>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</si>
  <si>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</si>
  <si>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</si>
  <si>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</si>
  <si>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</si>
  <si>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</si>
  <si>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</si>
  <si>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</si>
  <si>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</si>
  <si>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</si>
  <si>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</si>
  <si>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</si>
  <si>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</si>
  <si>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</si>
  <si>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</si>
  <si>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</si>
  <si>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</si>
  <si>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</si>
  <si>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</si>
  <si>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</si>
  <si>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</si>
  <si>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</si>
  <si>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</si>
  <si>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</si>
  <si>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</si>
  <si>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</si>
  <si>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</si>
  <si>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</si>
  <si>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</si>
  <si>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</si>
  <si>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</si>
  <si>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</si>
  <si>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</si>
  <si>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</si>
  <si>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</si>
  <si>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</si>
  <si>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</si>
  <si>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</si>
  <si>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</si>
  <si>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</si>
  <si>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</si>
  <si>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</si>
  <si>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</si>
  <si>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</si>
  <si>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</si>
  <si>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</si>
  <si>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</si>
  <si>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</si>
  <si>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</si>
  <si>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</si>
  <si>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</si>
  <si>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</si>
  <si>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</si>
  <si>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</si>
  <si>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</si>
  <si>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</si>
  <si>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</si>
  <si>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</si>
  <si>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</si>
  <si>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</si>
  <si>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</si>
  <si>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</si>
  <si>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</si>
  <si>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</si>
  <si>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</si>
  <si>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</si>
  <si>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</si>
  <si>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</si>
  <si>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</si>
  <si>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</si>
  <si>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</si>
  <si>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</si>
  <si>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</si>
  <si>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</si>
  <si>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</si>
  <si>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</si>
  <si>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</si>
  <si>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</si>
  <si>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</si>
  <si>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</si>
  <si>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</si>
  <si>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</si>
  <si>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</si>
  <si>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</si>
  <si>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</si>
  <si>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</si>
  <si>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</si>
  <si>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</si>
  <si>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</si>
  <si>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</si>
  <si>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</si>
  <si>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</si>
  <si>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</si>
  <si>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</si>
  <si>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</si>
  <si>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</si>
  <si>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</si>
  <si>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</si>
  <si>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</si>
  <si>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</si>
  <si>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</si>
  <si>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</si>
  <si>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</si>
  <si>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</si>
  <si>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</si>
  <si>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</si>
  <si>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</si>
  <si>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</si>
  <si>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</si>
  <si>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</si>
  <si>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</si>
  <si>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</si>
  <si>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</si>
  <si>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</si>
  <si>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</si>
  <si>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</si>
  <si>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</si>
  <si>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</si>
  <si>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</si>
  <si>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</si>
  <si>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</si>
  <si>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</si>
  <si>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</si>
  <si>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</si>
  <si>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</si>
  <si>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</si>
  <si>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</si>
  <si>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</si>
  <si>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</si>
  <si>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</si>
  <si>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</si>
  <si>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</si>
  <si>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</si>
  <si>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</si>
  <si>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</si>
  <si>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</si>
  <si>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</si>
  <si>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</si>
  <si>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</si>
  <si>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</si>
  <si>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</si>
  <si>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</si>
  <si>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</si>
  <si>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</si>
  <si>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</si>
  <si>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</si>
  <si>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</si>
  <si>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</si>
  <si>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</si>
  <si>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</si>
  <si>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</si>
  <si>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</si>
  <si>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</si>
  <si>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</si>
  <si>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</si>
  <si>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</si>
  <si>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</si>
  <si>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</si>
  <si>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</si>
  <si>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</si>
  <si>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</si>
  <si>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</si>
  <si>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</si>
  <si>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</si>
  <si>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</si>
  <si>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</si>
  <si>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</si>
  <si>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</si>
  <si>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</si>
  <si>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</si>
  <si>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</si>
  <si>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</si>
  <si>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</si>
  <si>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</si>
  <si>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</si>
  <si>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</si>
  <si>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</si>
  <si>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</si>
  <si>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</si>
  <si>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</si>
  <si>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</si>
  <si>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</si>
  <si>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</si>
  <si>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</si>
  <si>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</si>
  <si>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</si>
  <si>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</si>
  <si>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</si>
  <si>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</si>
  <si>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</si>
  <si>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</si>
  <si>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</si>
  <si>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</si>
  <si>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</si>
  <si>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</si>
  <si>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</si>
  <si>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</si>
  <si>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</si>
  <si>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</si>
  <si>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</si>
  <si>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</si>
  <si>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</si>
  <si>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</si>
  <si>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</si>
  <si>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</si>
  <si>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</si>
  <si>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</si>
  <si>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</si>
  <si>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</si>
  <si>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</si>
  <si>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</si>
  <si>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</si>
  <si>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</si>
  <si>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</si>
  <si>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</si>
  <si>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</si>
  <si>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</si>
  <si>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</si>
  <si>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</si>
  <si>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</si>
  <si>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</si>
  <si>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</si>
  <si>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</si>
  <si>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</si>
  <si>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</si>
  <si>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</si>
  <si>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</si>
  <si>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</si>
  <si>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</si>
  <si>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</si>
  <si>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</si>
  <si>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</si>
  <si>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</si>
  <si>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</si>
  <si>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</si>
  <si>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</si>
  <si>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</si>
  <si>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</si>
  <si>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</si>
  <si>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</si>
  <si>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</si>
  <si>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</si>
  <si>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</si>
  <si>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</si>
  <si>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</si>
  <si>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</si>
  <si>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</si>
  <si>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</si>
  <si>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</si>
  <si>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</si>
  <si>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</si>
  <si>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</si>
  <si>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</si>
  <si>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</si>
  <si>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</si>
  <si>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</si>
  <si>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</si>
  <si>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</si>
  <si>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</si>
  <si>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</si>
  <si>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</si>
  <si>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</si>
  <si>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</si>
  <si>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</si>
  <si>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</si>
  <si>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</si>
  <si>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</si>
  <si>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</si>
  <si>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</si>
  <si>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</si>
  <si>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</si>
  <si>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</si>
  <si>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</si>
  <si>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</si>
  <si>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</si>
  <si>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</si>
  <si>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</si>
  <si>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</si>
  <si>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</si>
  <si>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</si>
  <si>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</si>
  <si>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</si>
  <si>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</si>
  <si>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</si>
  <si>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</si>
  <si>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</si>
  <si>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</si>
  <si>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</si>
  <si>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</si>
  <si>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</si>
  <si>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</si>
  <si>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</si>
  <si>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</si>
  <si>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</si>
  <si>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</si>
  <si>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</si>
  <si>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</si>
  <si>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</si>
  <si>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</si>
  <si>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</si>
  <si>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</si>
  <si>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</si>
  <si>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</si>
  <si>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</si>
  <si>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</si>
  <si>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</si>
  <si>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</si>
  <si>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</si>
  <si>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</si>
  <si>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</si>
  <si>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</si>
  <si>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</si>
  <si>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</si>
  <si>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</si>
  <si>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</si>
  <si>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</si>
  <si>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</si>
  <si>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</si>
  <si>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</si>
  <si>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</si>
  <si>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</si>
  <si>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</si>
  <si>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</si>
  <si>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</si>
  <si>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</si>
  <si>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</si>
  <si>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</si>
  <si>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</si>
  <si>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</si>
  <si>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</si>
  <si>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</si>
  <si>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</si>
  <si>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</si>
  <si>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</si>
  <si>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</si>
  <si>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</si>
  <si>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</si>
  <si>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</si>
  <si>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</si>
  <si>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</si>
  <si>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</si>
  <si>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</si>
  <si>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</si>
  <si>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</si>
  <si>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</si>
  <si>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</si>
  <si>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</si>
  <si>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</si>
  <si>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</si>
  <si>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</si>
  <si>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</si>
  <si>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</si>
  <si>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</si>
  <si>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</si>
  <si>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</si>
  <si>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</si>
  <si>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</si>
  <si>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</si>
  <si>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</si>
  <si>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</si>
  <si>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</si>
  <si>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</si>
  <si>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</si>
  <si>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</si>
  <si>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</si>
  <si>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</si>
  <si>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</si>
  <si>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</si>
  <si>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</si>
  <si>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</si>
  <si>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</si>
  <si>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</si>
  <si>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</si>
  <si>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</si>
  <si>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</si>
  <si>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</si>
  <si>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</si>
  <si>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</si>
  <si>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</si>
  <si>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</si>
  <si>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</si>
  <si>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</si>
  <si>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</si>
  <si>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</si>
  <si>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</si>
  <si>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</si>
  <si>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</si>
  <si>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</si>
  <si>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</si>
  <si>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</si>
  <si>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</si>
  <si>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</si>
  <si>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</si>
  <si>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</si>
  <si>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</si>
  <si>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</si>
  <si>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</si>
  <si>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</si>
  <si>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</si>
  <si>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</si>
  <si>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</si>
  <si>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</si>
  <si>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</si>
  <si>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</si>
  <si>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</si>
  <si>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</si>
  <si>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</si>
  <si>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</si>
  <si>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</si>
  <si>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</si>
  <si>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</si>
  <si>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</si>
  <si>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</si>
  <si>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</si>
  <si>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</si>
  <si>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</si>
  <si>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</si>
  <si>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</si>
  <si>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</si>
  <si>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</si>
  <si>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</si>
  <si>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</si>
  <si>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</si>
  <si>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</si>
  <si>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</si>
  <si>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</si>
  <si>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</si>
  <si>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</si>
  <si>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</si>
  <si>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</si>
  <si>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</si>
  <si>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</si>
  <si>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</si>
  <si>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</si>
  <si>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</si>
  <si>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</si>
  <si>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</si>
  <si>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</si>
  <si>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</si>
  <si>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</si>
  <si>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</si>
  <si>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</si>
  <si>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</si>
  <si>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</si>
  <si>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</si>
  <si>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</si>
  <si>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</si>
  <si>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</si>
  <si>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</si>
  <si>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</si>
  <si>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</si>
  <si>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</si>
  <si>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</si>
  <si>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</si>
  <si>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</si>
  <si>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</si>
  <si>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</si>
  <si>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</si>
  <si>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</si>
  <si>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</si>
  <si>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</si>
  <si>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</si>
  <si>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</si>
  <si>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</si>
  <si>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</si>
  <si>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</si>
  <si>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</si>
  <si>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</si>
  <si>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</si>
  <si>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</si>
  <si>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</si>
  <si>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</si>
  <si>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</si>
  <si>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</si>
  <si>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</si>
  <si>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</si>
  <si>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</si>
  <si>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</si>
  <si>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</si>
  <si>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</si>
  <si>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</si>
  <si>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</si>
  <si>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</si>
  <si>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</si>
  <si>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</si>
  <si>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</si>
  <si>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</si>
  <si>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</si>
  <si>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</si>
  <si>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</si>
  <si>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</si>
  <si>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</si>
  <si>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</si>
  <si>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</si>
  <si>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</si>
  <si>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</si>
  <si>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</si>
  <si>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</si>
  <si>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</si>
  <si>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</si>
  <si>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</si>
  <si>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</si>
  <si>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</si>
  <si>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</si>
  <si>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</si>
  <si>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</si>
  <si>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</si>
  <si>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</si>
  <si>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</si>
  <si>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</si>
  <si>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</si>
  <si>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</si>
  <si>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</si>
  <si>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</si>
  <si>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</si>
  <si>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</si>
  <si>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</si>
  <si>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</si>
  <si>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</si>
  <si>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</si>
  <si>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</si>
  <si>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</si>
  <si>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</si>
  <si>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</si>
  <si>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</si>
  <si>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</si>
  <si>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</si>
  <si>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</si>
  <si>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</si>
  <si>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</si>
  <si>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</si>
  <si>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</si>
  <si>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</si>
  <si>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</si>
  <si>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</si>
  <si>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</si>
  <si>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</si>
  <si>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</si>
  <si>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</si>
  <si>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</si>
  <si>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</si>
  <si>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</si>
  <si>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</si>
  <si>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</si>
  <si>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</si>
  <si>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</si>
  <si>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</si>
  <si>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</si>
  <si>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</si>
  <si>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</si>
  <si>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</si>
  <si>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</si>
  <si>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</si>
  <si>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</si>
  <si>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</si>
  <si>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</si>
  <si>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</si>
  <si>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</si>
  <si>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</si>
  <si>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</si>
  <si>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</si>
  <si>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</si>
  <si>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</si>
  <si>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</si>
  <si>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</si>
  <si>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</si>
  <si>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</si>
  <si>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</si>
  <si>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</si>
  <si>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</si>
  <si>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</si>
  <si>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</si>
  <si>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</si>
  <si>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</si>
  <si>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</si>
  <si>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</si>
  <si>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</si>
  <si>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</si>
  <si>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</si>
  <si>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</si>
  <si>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</si>
  <si>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</si>
  <si>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</si>
  <si>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</si>
  <si>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</si>
  <si>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</si>
  <si>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</si>
  <si>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</si>
  <si>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</si>
  <si>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</si>
  <si>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</si>
  <si>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</si>
  <si>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</si>
  <si>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</si>
  <si>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</si>
  <si>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</si>
  <si>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</si>
  <si>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</si>
  <si>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</si>
  <si>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</si>
  <si>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</si>
  <si>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</si>
  <si>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</si>
  <si>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</si>
  <si>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</si>
  <si>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</si>
  <si>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</si>
  <si>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</si>
  <si>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</si>
  <si>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</si>
  <si>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</si>
  <si>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</si>
  <si>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</si>
  <si>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</si>
  <si>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</si>
  <si>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</si>
  <si>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</si>
  <si>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</si>
  <si>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</si>
  <si>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</si>
  <si>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</si>
  <si>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</si>
  <si>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</si>
  <si>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</si>
  <si>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</si>
  <si>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</si>
  <si>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</si>
  <si>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</si>
  <si>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</si>
  <si>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</si>
  <si>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</si>
  <si>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</si>
  <si>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</si>
  <si>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</si>
  <si>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</si>
  <si>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</si>
  <si>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</si>
  <si>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</si>
  <si>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</si>
  <si>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</si>
  <si>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</si>
  <si>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</si>
  <si>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</si>
  <si>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</si>
  <si>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</si>
  <si>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</si>
  <si>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</si>
  <si>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</si>
  <si>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</si>
  <si>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</si>
  <si>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</si>
  <si>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</si>
  <si>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</si>
  <si>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</si>
  <si>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</si>
  <si>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</si>
  <si>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</si>
  <si>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</si>
  <si>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</si>
  <si>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</si>
  <si>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</si>
  <si>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</si>
  <si>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</si>
  <si>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</si>
  <si>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</si>
  <si>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</si>
  <si>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</si>
  <si>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</si>
  <si>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</si>
  <si>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</si>
  <si>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</si>
  <si>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</si>
  <si>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</si>
  <si>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</si>
  <si>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</si>
  <si>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</si>
  <si>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</si>
  <si>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</si>
  <si>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</si>
  <si>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</si>
  <si>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</si>
  <si>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</si>
  <si>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</si>
  <si>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</si>
  <si>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</si>
  <si>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</si>
  <si>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</si>
  <si>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</si>
  <si>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</si>
  <si>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</si>
  <si>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</si>
  <si>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</si>
  <si>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</si>
  <si>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</si>
  <si>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</si>
  <si>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</si>
  <si>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</si>
  <si>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</si>
  <si>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</si>
  <si>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</si>
  <si>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</si>
  <si>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</si>
  <si>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</si>
  <si>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</si>
  <si>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</si>
  <si>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</si>
  <si>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</si>
  <si>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</si>
  <si>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</si>
  <si>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</si>
  <si>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</si>
  <si>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</si>
  <si>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</si>
  <si>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</si>
  <si>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</si>
  <si>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</si>
  <si>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</si>
  <si>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</si>
  <si>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</si>
  <si>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</si>
  <si>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</si>
  <si>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</si>
  <si>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</si>
  <si>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</si>
  <si>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</si>
  <si>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</si>
  <si>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</si>
  <si>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</si>
  <si>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</si>
  <si>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</si>
  <si>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</si>
  <si>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</si>
  <si>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</si>
  <si>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</si>
  <si>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</si>
  <si>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</si>
  <si>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</si>
  <si>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</si>
  <si>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</si>
  <si>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</si>
  <si>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</si>
  <si>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</si>
  <si>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</si>
  <si>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</si>
  <si>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</si>
  <si>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</si>
  <si>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</si>
  <si>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</si>
  <si>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</si>
  <si>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</si>
  <si>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</si>
  <si>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</si>
  <si>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</si>
  <si>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</si>
  <si>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</si>
  <si>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</si>
  <si>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</si>
  <si>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</si>
  <si>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</si>
  <si>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</si>
  <si>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</si>
  <si>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</si>
  <si>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</si>
  <si>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</si>
  <si>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</si>
  <si>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</si>
  <si>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</si>
  <si>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</si>
  <si>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</si>
  <si>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</si>
  <si>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</si>
  <si>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</si>
  <si>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</si>
  <si>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</si>
  <si>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</si>
  <si>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</si>
  <si>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</si>
  <si>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</si>
  <si>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</si>
  <si>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</si>
  <si>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</si>
  <si>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</si>
  <si>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</si>
  <si>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</si>
  <si>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</si>
  <si>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</si>
  <si>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</si>
  <si>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</si>
  <si>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</si>
  <si>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</si>
  <si>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</si>
  <si>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</si>
  <si>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</si>
  <si>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</si>
  <si>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</si>
  <si>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</si>
  <si>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</si>
  <si>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</si>
  <si>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</si>
  <si>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</si>
  <si>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</si>
  <si>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</si>
  <si>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</si>
  <si>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</si>
  <si>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</si>
  <si>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</si>
  <si>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</si>
  <si>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</si>
  <si>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</si>
  <si>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</si>
  <si>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</si>
  <si>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</si>
  <si>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</si>
  <si>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</si>
  <si>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</si>
  <si>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</si>
  <si>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</si>
  <si>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</si>
  <si>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</si>
  <si>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</si>
  <si>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</si>
  <si>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</si>
  <si>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</si>
  <si>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</si>
  <si>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</si>
  <si>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</si>
  <si>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</si>
  <si>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</si>
  <si>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</si>
  <si>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</si>
  <si>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</si>
  <si>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</si>
  <si>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</si>
  <si>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</si>
  <si>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</si>
  <si>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</si>
  <si>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</si>
  <si>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</si>
  <si>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</si>
  <si>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</si>
  <si>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</si>
  <si>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</si>
  <si>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</si>
  <si>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</si>
  <si>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</si>
  <si>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</si>
  <si>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</si>
  <si>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</si>
  <si>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</si>
  <si>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</si>
  <si>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</si>
  <si>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</si>
  <si>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</si>
  <si>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</si>
  <si>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</si>
  <si>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</si>
  <si>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</si>
  <si>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</si>
  <si>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</si>
  <si>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</si>
  <si>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</si>
  <si>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</si>
  <si>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</si>
  <si>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</si>
  <si>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</si>
  <si>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</si>
  <si>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</si>
  <si>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</si>
  <si>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</si>
  <si>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</si>
  <si>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</si>
  <si>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</si>
  <si>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</si>
  <si>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</si>
  <si>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</si>
  <si>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</si>
  <si>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</si>
  <si>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</si>
  <si>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</si>
  <si>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</si>
  <si>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</si>
  <si>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</si>
  <si>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</si>
  <si>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</si>
  <si>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</si>
  <si>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</si>
  <si>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</si>
  <si>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</si>
  <si>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</si>
  <si>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</si>
  <si>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</si>
  <si>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</si>
  <si>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</si>
  <si>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</si>
  <si>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</si>
  <si>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</si>
  <si>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</si>
  <si>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</si>
  <si>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</si>
  <si>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</si>
  <si>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</si>
  <si>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</si>
  <si>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</si>
  <si>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</si>
  <si>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</si>
  <si>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</si>
  <si>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</si>
  <si>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</si>
  <si>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</si>
  <si>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</si>
  <si>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</si>
  <si>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</si>
  <si>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</si>
  <si>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</si>
  <si>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</si>
  <si>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</si>
  <si>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</si>
  <si>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</si>
  <si>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</si>
  <si>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</si>
  <si>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</si>
  <si>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</si>
  <si>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</si>
  <si>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</si>
  <si>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</si>
  <si>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</si>
  <si>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</si>
  <si>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</si>
  <si>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</si>
  <si>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</si>
  <si>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</si>
  <si>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</si>
  <si>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</si>
  <si>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</si>
  <si>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</si>
  <si>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</si>
  <si>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</si>
  <si>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</si>
  <si>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</si>
  <si>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</si>
  <si>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</si>
  <si>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</si>
  <si>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</si>
  <si>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</si>
  <si>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</si>
  <si>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</si>
  <si>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</si>
  <si>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</si>
  <si>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</si>
  <si>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</si>
  <si>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</si>
  <si>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</si>
  <si>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</si>
  <si>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</si>
  <si>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</si>
  <si>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</si>
  <si>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</si>
  <si>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</si>
  <si>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</si>
  <si>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</si>
  <si>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</si>
  <si>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</si>
  <si>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</si>
  <si>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</si>
  <si>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</si>
  <si>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</si>
  <si>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</si>
  <si>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</si>
  <si>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</si>
  <si>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</si>
  <si>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</si>
  <si>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</si>
  <si>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</si>
  <si>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</si>
  <si>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</si>
  <si>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</si>
  <si>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</si>
  <si>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</si>
  <si>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</si>
  <si>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</si>
  <si>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</si>
  <si>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</si>
  <si>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</si>
  <si>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</si>
  <si>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</si>
  <si>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</si>
  <si>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</si>
  <si>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</si>
  <si>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</si>
  <si>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</si>
  <si>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</si>
  <si>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</si>
  <si>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</si>
  <si>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</si>
  <si>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</si>
  <si>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</si>
  <si>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</si>
  <si>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</si>
  <si>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</si>
  <si>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</si>
  <si>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</si>
  <si>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</si>
  <si>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</si>
  <si>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</si>
  <si>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</si>
  <si>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</si>
  <si>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</si>
  <si>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</si>
  <si>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</si>
  <si>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</si>
  <si>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</si>
  <si>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</si>
  <si>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</si>
  <si>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</si>
  <si>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</si>
  <si>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</si>
  <si>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</si>
  <si>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</si>
  <si>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</si>
  <si>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</si>
  <si>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</si>
  <si>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</si>
  <si>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</si>
  <si>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</si>
  <si>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</si>
  <si>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</si>
  <si>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</si>
  <si>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</si>
  <si>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</si>
  <si>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</si>
  <si>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</si>
  <si>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</si>
  <si>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</si>
  <si>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</si>
  <si>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</si>
  <si>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</si>
  <si>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</si>
  <si>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</si>
  <si>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</si>
  <si>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</si>
  <si>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</si>
  <si>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</si>
  <si>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</si>
  <si>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</si>
  <si>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</si>
  <si>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</si>
  <si>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</si>
  <si>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</si>
  <si>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</si>
  <si>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</si>
  <si>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</si>
  <si>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</si>
  <si>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</si>
  <si>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</si>
  <si>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</si>
  <si>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</si>
  <si>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</si>
  <si>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</si>
  <si>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</si>
  <si>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</si>
  <si>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</si>
  <si>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</si>
  <si>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</si>
  <si>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</si>
  <si>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</si>
  <si>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</si>
  <si>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</si>
  <si>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</si>
  <si>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</si>
  <si>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</si>
  <si>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</si>
  <si>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</si>
  <si>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</si>
  <si>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</si>
  <si>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</si>
  <si>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</si>
  <si>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</si>
  <si>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</si>
  <si>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</si>
  <si>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</si>
  <si>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</si>
  <si>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</si>
  <si>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</si>
  <si>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</si>
  <si>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</si>
  <si>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</si>
  <si>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</si>
  <si>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</si>
  <si>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</si>
  <si>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</si>
  <si>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</si>
  <si>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</si>
  <si>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</si>
  <si>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</si>
  <si>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</si>
  <si>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</si>
  <si>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</si>
  <si>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</si>
  <si>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</si>
  <si>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</si>
  <si>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</si>
  <si>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</si>
  <si>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</si>
  <si>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</si>
  <si>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</si>
  <si>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</si>
  <si>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</si>
  <si>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</si>
  <si>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</si>
  <si>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</si>
  <si>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</si>
  <si>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</si>
  <si>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</si>
  <si>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</si>
  <si>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</si>
  <si>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</si>
  <si>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</si>
  <si>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</si>
  <si>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</si>
  <si>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</si>
  <si>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</si>
  <si>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</si>
  <si>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</si>
  <si>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</si>
  <si>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</si>
  <si>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</si>
  <si>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</si>
  <si>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</si>
  <si>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</si>
  <si>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</si>
  <si>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</si>
  <si>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</si>
  <si>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</si>
  <si>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</si>
  <si>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</si>
  <si>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</si>
  <si>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</si>
  <si>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</si>
  <si>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</si>
  <si>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</si>
  <si>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</si>
  <si>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</si>
  <si>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</si>
  <si>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</si>
  <si>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</si>
  <si>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</si>
  <si>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</si>
  <si>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</si>
  <si>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</si>
  <si>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</si>
  <si>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</si>
  <si>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</si>
  <si>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</si>
  <si>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</si>
  <si>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</si>
  <si>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</si>
  <si>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</si>
  <si>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</si>
  <si>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</si>
  <si>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</si>
  <si>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</si>
  <si>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</si>
  <si>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</si>
  <si>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</si>
  <si>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</si>
  <si>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</si>
  <si>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</si>
  <si>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</si>
  <si>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</si>
  <si>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</si>
  <si>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</si>
  <si>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</si>
  <si>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</si>
  <si>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</si>
  <si>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</si>
  <si>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</si>
  <si>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</si>
  <si>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</si>
  <si>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</si>
  <si>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</si>
  <si>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</si>
  <si>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</si>
  <si>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</si>
  <si>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</si>
  <si>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</si>
  <si>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</si>
  <si>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</si>
  <si>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</si>
  <si>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</si>
  <si>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</si>
  <si>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</si>
  <si>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</si>
  <si>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</si>
  <si>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</si>
  <si>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</si>
  <si>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</si>
  <si>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</si>
  <si>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</si>
  <si>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</si>
  <si>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</si>
  <si>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</si>
  <si>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</si>
  <si>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</si>
  <si>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</si>
  <si>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</si>
  <si>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</si>
  <si>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</si>
  <si>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</si>
  <si>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</si>
  <si>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</si>
  <si>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</si>
  <si>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</si>
  <si>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</si>
  <si>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</si>
  <si>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</si>
  <si>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</si>
  <si>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</si>
  <si>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</si>
  <si>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</si>
  <si>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</si>
  <si>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</si>
  <si>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</si>
  <si>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</si>
  <si>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</si>
  <si>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</si>
  <si>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</si>
  <si>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</si>
  <si>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</si>
  <si>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</si>
  <si>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</si>
  <si>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</si>
  <si>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</si>
  <si>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</si>
  <si>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</si>
  <si>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</si>
  <si>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</si>
  <si>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</si>
  <si>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</si>
  <si>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</si>
  <si>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</si>
  <si>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</si>
  <si>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</si>
  <si>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</si>
  <si>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</si>
  <si>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</si>
  <si>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</si>
  <si>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</si>
  <si>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</si>
  <si>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</si>
  <si>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</si>
  <si>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</si>
  <si>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</si>
  <si>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</si>
  <si>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</si>
  <si>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</si>
  <si>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</si>
  <si>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</si>
  <si>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</si>
  <si>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</si>
  <si>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</si>
  <si>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</si>
  <si>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</si>
  <si>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</si>
  <si>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</si>
  <si>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</si>
  <si>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</si>
  <si>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</si>
  <si>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</si>
  <si>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</si>
  <si>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</si>
  <si>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</si>
  <si>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</si>
  <si>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</si>
  <si>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</si>
  <si>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</si>
  <si>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</si>
  <si>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</si>
  <si>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</si>
  <si>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</si>
  <si>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</si>
  <si>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</si>
  <si>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</si>
  <si>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</si>
  <si>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</si>
  <si>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</si>
  <si>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</si>
  <si>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</si>
  <si>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</si>
  <si>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</si>
  <si>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</si>
  <si>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</si>
  <si>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</si>
  <si>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</si>
  <si>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</si>
  <si>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</si>
  <si>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</si>
  <si>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</si>
  <si>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</si>
  <si>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</si>
  <si>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</si>
  <si>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</si>
  <si>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</si>
  <si>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</si>
  <si>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</si>
  <si>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</si>
  <si>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</si>
  <si>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</si>
  <si>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</si>
  <si>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</si>
  <si>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</si>
  <si>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</si>
  <si>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</si>
  <si>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</si>
  <si>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</si>
  <si>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</si>
  <si>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</si>
  <si>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</si>
  <si>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</si>
  <si>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</si>
  <si>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</si>
  <si>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</si>
  <si>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</si>
  <si>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</si>
  <si>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</si>
  <si>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</si>
  <si>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</si>
  <si>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</si>
  <si>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</si>
  <si>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</si>
  <si>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</si>
  <si>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</si>
  <si>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</si>
  <si>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</si>
  <si>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</si>
  <si>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</si>
  <si>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</si>
  <si>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</si>
  <si>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</si>
  <si>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</si>
  <si>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</si>
  <si>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</si>
  <si>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</si>
  <si>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</si>
  <si>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</si>
  <si>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</si>
  <si>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</si>
  <si>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</si>
  <si>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</si>
  <si>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</si>
  <si>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</si>
  <si>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</si>
  <si>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</si>
  <si>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</si>
  <si>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</si>
  <si>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</si>
  <si>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</si>
  <si>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</si>
  <si>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</si>
  <si>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</si>
  <si>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</si>
  <si>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</si>
  <si>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</si>
  <si>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</si>
  <si>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</si>
  <si>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</si>
  <si>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</si>
  <si>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</si>
  <si>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</si>
  <si>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</si>
  <si>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</si>
  <si>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</si>
  <si>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</si>
  <si>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</si>
  <si>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</si>
  <si>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</si>
  <si>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</si>
  <si>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</si>
  <si>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</si>
  <si>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</si>
  <si>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</si>
  <si>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</si>
  <si>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</si>
  <si>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</si>
  <si>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</si>
  <si>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</si>
  <si>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</si>
  <si>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</si>
  <si>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</si>
  <si>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</si>
  <si>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</si>
  <si>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</si>
  <si>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</si>
  <si>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</si>
  <si>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</si>
  <si>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</si>
  <si>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</si>
  <si>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</si>
  <si>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</si>
  <si>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</si>
  <si>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</si>
  <si>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</si>
  <si>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</si>
  <si>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</si>
  <si>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</si>
  <si>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</si>
  <si>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</si>
  <si>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</si>
  <si>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</si>
  <si>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</si>
  <si>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</si>
  <si>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</si>
  <si>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</si>
  <si>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</si>
  <si>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</si>
  <si>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</si>
  <si>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</si>
  <si>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</si>
  <si>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</si>
  <si>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</si>
  <si>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</si>
  <si>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</si>
  <si>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</si>
  <si>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</si>
  <si>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</si>
  <si>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</si>
  <si>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</si>
  <si>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</si>
  <si>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</si>
  <si>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</si>
  <si>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</si>
  <si>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</si>
  <si>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</si>
  <si>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</si>
  <si>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</si>
  <si>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</si>
  <si>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</si>
  <si>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</si>
  <si>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</si>
  <si>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</si>
  <si>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</si>
  <si>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</si>
  <si>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</si>
  <si>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</si>
  <si>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</si>
  <si>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</si>
  <si>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</si>
  <si>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</si>
  <si>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</si>
  <si>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</si>
  <si>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</si>
  <si>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</si>
  <si>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</si>
  <si>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</si>
  <si>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</si>
  <si>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</si>
  <si>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</si>
  <si>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</si>
  <si>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</si>
  <si>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</si>
  <si>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</si>
  <si>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</si>
  <si>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</si>
  <si>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</si>
  <si>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</si>
  <si>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</si>
  <si>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</si>
  <si>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</si>
  <si>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</si>
  <si>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</si>
  <si>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</si>
  <si>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</si>
  <si>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</si>
  <si>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</si>
  <si>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</si>
  <si>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</si>
  <si>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</si>
  <si>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</si>
  <si>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</si>
  <si>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</si>
  <si>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</si>
  <si>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</si>
  <si>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</si>
  <si>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</si>
  <si>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</si>
  <si>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</si>
  <si>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</si>
  <si>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</si>
  <si>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</si>
  <si>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</si>
  <si>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</si>
  <si>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</si>
  <si>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</si>
  <si>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</si>
  <si>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</si>
  <si>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</si>
  <si>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</si>
  <si>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</si>
  <si>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</si>
  <si>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</si>
  <si>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</si>
  <si>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</si>
  <si>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</si>
  <si>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</si>
  <si>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</si>
  <si>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</si>
  <si>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</si>
  <si>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</si>
  <si>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</si>
  <si>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</si>
  <si>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</si>
  <si>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</si>
  <si>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</si>
  <si>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</si>
  <si>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</si>
  <si>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</si>
  <si>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</si>
  <si>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</si>
  <si>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</si>
  <si>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</si>
  <si>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</si>
  <si>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</si>
  <si>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</si>
  <si>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</si>
  <si>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</si>
  <si>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</si>
  <si>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</si>
  <si>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</si>
  <si>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</si>
  <si>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</si>
  <si>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</si>
  <si>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</si>
  <si>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</si>
  <si>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</si>
  <si>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</si>
  <si>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</si>
  <si>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</si>
  <si>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</si>
  <si>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</si>
  <si>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</si>
  <si>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</si>
  <si>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</si>
  <si>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</si>
  <si>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</si>
  <si>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</si>
  <si>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</si>
  <si>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</si>
  <si>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</si>
  <si>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</si>
  <si>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</si>
  <si>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</si>
  <si>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</si>
  <si>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</si>
  <si>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</si>
  <si>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</si>
  <si>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</si>
  <si>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</si>
  <si>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</si>
  <si>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</si>
  <si>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</si>
  <si>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</si>
  <si>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</si>
  <si>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</si>
  <si>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</si>
  <si>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</si>
  <si>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</si>
  <si>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</si>
  <si>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</si>
  <si>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</si>
  <si>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</si>
  <si>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</si>
  <si>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</si>
  <si>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</si>
  <si>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</si>
  <si>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</si>
  <si>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</si>
  <si>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</si>
  <si>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</si>
  <si>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</si>
  <si>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</si>
  <si>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</si>
  <si>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</si>
  <si>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</si>
  <si>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</si>
  <si>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</si>
  <si>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</si>
  <si>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</si>
  <si>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</si>
  <si>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</si>
  <si>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</si>
  <si>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</si>
  <si>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</si>
  <si>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</si>
  <si>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</si>
  <si>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</si>
  <si>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</si>
  <si>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</si>
  <si>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</si>
  <si>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</si>
  <si>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</si>
  <si>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</si>
  <si>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</si>
  <si>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</si>
  <si>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</si>
  <si>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</si>
  <si>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</si>
  <si>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</si>
  <si>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</si>
  <si>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</si>
  <si>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</si>
  <si>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</si>
  <si>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</si>
  <si>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</si>
  <si>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</si>
  <si>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</si>
  <si>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</si>
  <si>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</si>
  <si>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</si>
  <si>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</si>
  <si>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</si>
  <si>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</si>
  <si>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</si>
  <si>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</si>
  <si>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</si>
  <si>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</si>
  <si>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</si>
  <si>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</si>
  <si>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</si>
  <si>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</si>
  <si>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</si>
  <si>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</si>
  <si>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</si>
  <si>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</si>
  <si>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</si>
  <si>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</si>
  <si>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</si>
  <si>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</si>
  <si>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</si>
  <si>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</si>
  <si>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</si>
  <si>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</si>
  <si>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</si>
  <si>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</si>
  <si>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</si>
  <si>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</si>
  <si>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</si>
  <si>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</si>
  <si>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</si>
  <si>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</si>
  <si>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</si>
  <si>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</si>
  <si>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</si>
  <si>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</si>
  <si>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</si>
  <si>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</si>
  <si>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</si>
  <si>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</si>
  <si>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</si>
  <si>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</si>
  <si>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</si>
  <si>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</si>
  <si>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</si>
  <si>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</si>
  <si>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</si>
  <si>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</si>
  <si>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</si>
  <si>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</si>
  <si>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</si>
  <si>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</si>
  <si>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</si>
  <si>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</si>
  <si>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</si>
  <si>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</si>
  <si>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</si>
  <si>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</si>
  <si>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</si>
  <si>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</si>
  <si>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</si>
  <si>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</si>
  <si>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</si>
  <si>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</si>
  <si>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</si>
  <si>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</si>
  <si>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</si>
  <si>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</si>
  <si>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</si>
  <si>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</si>
  <si>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</si>
  <si>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</si>
  <si>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</si>
  <si>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</si>
  <si>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</si>
  <si>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</si>
  <si>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</si>
  <si>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</si>
  <si>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</si>
  <si>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</si>
  <si>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</si>
  <si>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</si>
  <si>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</si>
  <si>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</si>
  <si>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</si>
  <si>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</si>
  <si>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</si>
  <si>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</si>
  <si>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</si>
  <si>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</si>
  <si>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</si>
  <si>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</si>
  <si>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</si>
  <si>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</si>
  <si>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</si>
  <si>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</si>
  <si>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</si>
  <si>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</si>
  <si>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</si>
  <si>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</si>
  <si>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</si>
  <si>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</si>
  <si>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</si>
  <si>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</si>
  <si>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</si>
  <si>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</si>
  <si>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</si>
  <si>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</si>
  <si>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</si>
  <si>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</si>
  <si>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</si>
  <si>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</si>
  <si>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</si>
  <si>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</si>
  <si>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</si>
  <si>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</si>
  <si>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</si>
  <si>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</si>
  <si>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</si>
  <si>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</si>
  <si>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</si>
  <si>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</si>
  <si>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</si>
  <si>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</si>
  <si>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</si>
  <si>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</si>
  <si>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</si>
  <si>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</si>
  <si>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</si>
  <si>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</si>
  <si>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</si>
  <si>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</si>
  <si>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</si>
  <si>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</si>
  <si>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</si>
  <si>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</si>
  <si>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</si>
  <si>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</si>
  <si>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</si>
  <si>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</si>
  <si>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</si>
  <si>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</si>
  <si>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</si>
  <si>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</si>
  <si>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</si>
  <si>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</si>
  <si>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</si>
  <si>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</si>
  <si>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</si>
  <si>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</si>
  <si>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</si>
  <si>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</si>
  <si>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</si>
  <si>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</si>
  <si>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</si>
  <si>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</si>
  <si>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</si>
  <si>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</si>
  <si>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</si>
  <si>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</si>
  <si>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</si>
  <si>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</si>
  <si>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</si>
  <si>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</si>
  <si>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</si>
  <si>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</si>
  <si>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</si>
  <si>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</si>
  <si>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</si>
  <si>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</si>
  <si>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</si>
  <si>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</si>
  <si>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</si>
  <si>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</si>
  <si>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</si>
  <si>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</si>
  <si>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</si>
  <si>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</si>
  <si>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</si>
  <si>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</si>
  <si>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</si>
  <si>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</si>
  <si>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</si>
  <si>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</si>
  <si>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</si>
  <si>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</si>
  <si>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</si>
  <si>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</si>
  <si>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</si>
  <si>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</si>
  <si>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</si>
  <si>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</si>
  <si>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</si>
  <si>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</si>
  <si>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</si>
  <si>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</si>
  <si>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</si>
  <si>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</si>
  <si>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</si>
  <si>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</si>
  <si>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</si>
  <si>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</si>
  <si>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</si>
  <si>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</si>
  <si>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</si>
  <si>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</si>
  <si>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</si>
  <si>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</si>
  <si>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</si>
  <si>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</si>
  <si>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</si>
  <si>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</si>
  <si>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</si>
  <si>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</si>
  <si>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</si>
  <si>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</si>
  <si>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</si>
  <si>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</si>
  <si>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</si>
  <si>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</si>
  <si>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</si>
  <si>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</si>
  <si>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</si>
  <si>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</si>
  <si>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</si>
  <si>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</si>
  <si>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</si>
  <si>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</si>
  <si>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</si>
  <si>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</si>
  <si>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</si>
  <si>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</si>
  <si>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</si>
  <si>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</si>
  <si>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</si>
  <si>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</si>
  <si>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</si>
  <si>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</si>
  <si>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</si>
  <si>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</si>
  <si>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</si>
  <si>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</si>
  <si>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</si>
  <si>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</si>
  <si>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</si>
  <si>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</si>
  <si>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</si>
  <si>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</si>
  <si>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</si>
  <si>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</si>
  <si>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</si>
  <si>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</si>
  <si>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</si>
  <si>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</si>
  <si>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</si>
  <si>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</si>
  <si>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</si>
  <si>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</si>
  <si>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</si>
  <si>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</si>
  <si>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</si>
  <si>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</si>
  <si>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</si>
  <si>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</si>
  <si>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</si>
  <si>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</si>
  <si>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</si>
  <si>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</si>
  <si>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</si>
  <si>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</si>
  <si>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</si>
  <si>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</si>
  <si>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</si>
  <si>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</si>
  <si>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</si>
  <si>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</si>
  <si>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</si>
  <si>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</si>
  <si>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</si>
  <si>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</si>
  <si>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</si>
  <si>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</si>
  <si>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</si>
  <si>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</si>
  <si>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</si>
  <si>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</si>
  <si>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</si>
  <si>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</si>
  <si>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</si>
  <si>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</si>
  <si>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</si>
  <si>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</si>
  <si>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</si>
  <si>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</si>
  <si>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</si>
  <si>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</si>
  <si>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</si>
  <si>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</si>
  <si>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</si>
  <si>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</si>
  <si>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</si>
  <si>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</si>
  <si>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</si>
  <si>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</si>
  <si>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</si>
  <si>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</si>
  <si>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</si>
  <si>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</si>
  <si>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</si>
  <si>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</si>
  <si>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</si>
  <si>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</si>
  <si>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</si>
  <si>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</si>
  <si>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</si>
  <si>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</si>
  <si>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</si>
  <si>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</si>
  <si>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</si>
  <si>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</si>
  <si>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</si>
  <si>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</si>
  <si>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</si>
  <si>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</si>
  <si>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</si>
  <si>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</si>
  <si>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</si>
  <si>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</si>
  <si>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</si>
  <si>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</si>
  <si>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</si>
  <si>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</si>
  <si>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</si>
  <si>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</si>
  <si>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</si>
  <si>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</si>
  <si>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</si>
  <si>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</si>
  <si>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</si>
  <si>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</si>
  <si>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</si>
  <si>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</si>
  <si>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</si>
  <si>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</si>
  <si>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</si>
  <si>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</si>
  <si>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</si>
  <si>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</si>
  <si>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</si>
  <si>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</si>
  <si>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</si>
  <si>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</si>
  <si>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</si>
  <si>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</si>
  <si>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</si>
  <si>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</si>
  <si>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</si>
  <si>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</si>
  <si>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</si>
  <si>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</si>
  <si>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</si>
  <si>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</si>
  <si>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</si>
  <si>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</si>
  <si>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</si>
  <si>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</si>
  <si>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</si>
  <si>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</si>
  <si>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</si>
  <si>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</si>
  <si>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</si>
  <si>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</si>
  <si>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</si>
  <si>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</si>
  <si>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</si>
  <si>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</si>
  <si>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</si>
  <si>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</si>
  <si>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</si>
  <si>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</si>
  <si>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</si>
  <si>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</si>
  <si>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</si>
  <si>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</si>
  <si>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</si>
  <si>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</si>
  <si>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</si>
  <si>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</si>
  <si>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</si>
  <si>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</si>
  <si>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</si>
  <si>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</si>
  <si>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</si>
  <si>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</si>
  <si>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</si>
  <si>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</si>
  <si>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</si>
  <si>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</si>
  <si>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</si>
  <si>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</si>
  <si>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</si>
  <si>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</si>
  <si>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</si>
  <si>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</si>
  <si>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</si>
  <si>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</si>
  <si>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</si>
  <si>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</si>
  <si>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</si>
  <si>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</si>
  <si>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</si>
  <si>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</si>
  <si>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</si>
  <si>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</si>
  <si>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</si>
  <si>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</si>
  <si>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</si>
  <si>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</si>
  <si>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</si>
  <si>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</si>
  <si>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</si>
  <si>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</si>
  <si>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</si>
  <si>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</si>
  <si>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</si>
  <si>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</si>
  <si>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</si>
  <si>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</si>
  <si>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</si>
  <si>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</si>
  <si>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</si>
  <si>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</si>
  <si>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</si>
  <si>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</si>
  <si>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</si>
  <si>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</si>
  <si>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</si>
  <si>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</si>
  <si>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</si>
  <si>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</si>
  <si>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</si>
  <si>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</si>
  <si>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</si>
  <si>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</si>
  <si>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</si>
  <si>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</si>
  <si>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</si>
  <si>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</si>
  <si>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</si>
  <si>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</si>
  <si>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</si>
  <si>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</si>
  <si>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</si>
  <si>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</si>
  <si>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</si>
  <si>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</si>
  <si>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</si>
  <si>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</si>
  <si>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</si>
  <si>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</si>
  <si>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</si>
  <si>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</si>
  <si>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</si>
  <si>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</si>
  <si>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</si>
  <si>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</si>
  <si>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</si>
  <si>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</si>
  <si>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</si>
  <si>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</si>
  <si>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</si>
  <si>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</si>
  <si>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</si>
  <si>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</si>
  <si>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</si>
  <si>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</si>
  <si>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</si>
  <si>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</si>
  <si>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</si>
  <si>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</si>
  <si>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</si>
  <si>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</si>
  <si>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</si>
  <si>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</si>
  <si>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</si>
  <si>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</si>
  <si>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</si>
  <si>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</si>
  <si>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</si>
  <si>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</si>
  <si>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</si>
  <si>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</si>
  <si>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</si>
  <si>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</si>
  <si>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</si>
  <si>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</si>
  <si>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</si>
  <si>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</si>
  <si>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</si>
  <si>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</si>
  <si>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</si>
  <si>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</si>
  <si>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</si>
  <si>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</si>
  <si>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</si>
  <si>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</si>
  <si>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</si>
  <si>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</si>
  <si>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</si>
  <si>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</si>
  <si>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</si>
  <si>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</si>
  <si>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</si>
  <si>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</si>
  <si>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</si>
  <si>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</si>
  <si>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</si>
  <si>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</si>
  <si>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</si>
  <si>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</si>
  <si>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</si>
  <si>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</si>
  <si>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</si>
  <si>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</si>
  <si>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</si>
  <si>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</si>
  <si>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</si>
  <si>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</si>
  <si>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</si>
  <si>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</si>
  <si>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</si>
  <si>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</si>
  <si>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</si>
  <si>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</si>
  <si>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</si>
  <si>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</si>
  <si>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</si>
  <si>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</si>
  <si>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</si>
  <si>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</si>
  <si>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</si>
  <si>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</si>
  <si>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</si>
  <si>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</si>
  <si>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</si>
  <si>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</si>
  <si>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</si>
  <si>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</si>
  <si>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</si>
  <si>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</si>
  <si>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</si>
  <si>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</si>
  <si>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</si>
  <si>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</si>
  <si>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</si>
  <si>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</si>
  <si>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</si>
  <si>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</si>
  <si>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</si>
  <si>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</si>
  <si>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</si>
  <si>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</si>
  <si>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</si>
  <si>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</si>
  <si>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</si>
  <si>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</si>
  <si>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</si>
  <si>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</si>
  <si>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</si>
  <si>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</si>
  <si>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</si>
  <si>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</si>
  <si>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</si>
  <si>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</si>
  <si>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</si>
  <si>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</si>
  <si>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</si>
  <si>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</si>
  <si>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</si>
  <si>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</si>
  <si>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</si>
  <si>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</si>
  <si>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</si>
  <si>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</si>
  <si>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</si>
  <si>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</si>
  <si>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</si>
  <si>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</si>
  <si>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</si>
  <si>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</si>
  <si>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</si>
  <si>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</si>
  <si>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</si>
  <si>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</si>
  <si>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</si>
  <si>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</si>
  <si>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</si>
  <si>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</si>
  <si>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</si>
  <si>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</si>
  <si>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</si>
  <si>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</si>
  <si>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</si>
  <si>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</si>
  <si>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</si>
  <si>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</si>
  <si>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</si>
  <si>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</si>
  <si>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</si>
  <si>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</si>
  <si>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</si>
  <si>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</si>
  <si>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</si>
  <si>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</si>
  <si>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</si>
  <si>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</si>
  <si>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</si>
  <si>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</si>
  <si>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</si>
  <si>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</si>
  <si>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</si>
  <si>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</si>
  <si>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</si>
  <si>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</si>
  <si>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</si>
  <si>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</si>
  <si>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</si>
  <si>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</si>
  <si>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</si>
  <si>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</si>
  <si>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</si>
  <si>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</si>
  <si>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</si>
  <si>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</si>
  <si>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</si>
  <si>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</si>
  <si>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</si>
  <si>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</si>
  <si>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</si>
  <si>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</si>
  <si>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</si>
  <si>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</si>
  <si>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</si>
  <si>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</si>
  <si>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</si>
  <si>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</si>
  <si>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</si>
  <si>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</si>
  <si>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</si>
  <si>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</si>
  <si>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</si>
  <si>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</si>
  <si>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</si>
  <si>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</si>
  <si>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</si>
  <si>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</si>
  <si>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</si>
  <si>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</si>
  <si>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</si>
  <si>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</si>
  <si>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</si>
  <si>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</si>
  <si>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</si>
  <si>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</si>
  <si>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</si>
  <si>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</si>
  <si>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</si>
  <si>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</si>
  <si>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</si>
  <si>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</si>
  <si>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</si>
  <si>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</si>
  <si>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</si>
  <si>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</si>
  <si>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</si>
  <si>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</si>
  <si>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</si>
  <si>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</si>
  <si>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</si>
  <si>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</si>
  <si>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</si>
  <si>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</si>
  <si>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</si>
  <si>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</si>
  <si>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</si>
  <si>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</si>
  <si>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</si>
  <si>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</si>
  <si>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</si>
  <si>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</si>
  <si>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</si>
  <si>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</si>
  <si>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</si>
  <si>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</si>
  <si>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</si>
  <si>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</si>
  <si>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</si>
  <si>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</si>
  <si>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</si>
  <si>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</si>
  <si>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</si>
  <si>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</si>
  <si>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</si>
  <si>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</si>
  <si>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</si>
  <si>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</si>
  <si>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</si>
  <si>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</si>
  <si>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</si>
  <si>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</si>
  <si>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</si>
  <si>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</si>
  <si>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</si>
  <si>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</si>
  <si>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</si>
  <si>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</si>
  <si>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</si>
  <si>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</si>
  <si>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</si>
  <si>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</si>
  <si>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</si>
  <si>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</si>
  <si>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</si>
  <si>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</si>
  <si>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</si>
  <si>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</si>
  <si>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</si>
  <si>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</si>
  <si>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</si>
  <si>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</si>
  <si>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</si>
  <si>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</si>
  <si>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</si>
  <si>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</si>
  <si>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</si>
  <si>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</si>
  <si>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</si>
  <si>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</si>
  <si>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</si>
  <si>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</si>
  <si>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</si>
  <si>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</si>
  <si>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</si>
  <si>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</si>
  <si>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</si>
  <si>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</si>
  <si>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</si>
  <si>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</si>
  <si>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</si>
  <si>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</si>
  <si>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</si>
  <si>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</si>
  <si>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</si>
  <si>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</si>
  <si>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</si>
  <si>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</si>
  <si>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</si>
  <si>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</si>
  <si>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</si>
  <si>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</si>
  <si>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</si>
  <si>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</si>
  <si>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</si>
  <si>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</si>
  <si>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</si>
  <si>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</si>
  <si>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</si>
  <si>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</si>
  <si>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</si>
  <si>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</si>
  <si>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</si>
  <si>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</si>
  <si>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</si>
  <si>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</si>
  <si>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</si>
  <si>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</si>
  <si>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</si>
  <si>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</si>
  <si>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</si>
  <si>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</si>
  <si>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</si>
  <si>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</si>
  <si>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</si>
  <si>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</si>
  <si>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</si>
  <si>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</si>
  <si>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</si>
  <si>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</si>
  <si>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</si>
  <si>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</si>
  <si>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</si>
  <si>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</si>
  <si>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</si>
  <si>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</si>
  <si>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</si>
  <si>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</si>
  <si>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</si>
  <si>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</si>
  <si>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</si>
  <si>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</si>
  <si>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</si>
  <si>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</si>
  <si>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</si>
  <si>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</si>
  <si>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</si>
  <si>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</si>
  <si>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</si>
  <si>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</si>
  <si>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</si>
  <si>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</si>
  <si>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</si>
  <si>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</si>
  <si>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</si>
  <si>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</si>
  <si>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</si>
  <si>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</si>
  <si>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</si>
  <si>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</si>
  <si>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</si>
  <si>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</si>
  <si>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</si>
  <si>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</si>
  <si>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</si>
  <si>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</si>
  <si>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</si>
  <si>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</si>
  <si>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</si>
  <si>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</si>
  <si>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</si>
  <si>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</si>
  <si>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</si>
  <si>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</si>
  <si>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</si>
  <si>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</si>
  <si>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</si>
  <si>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</si>
  <si>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</si>
  <si>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</si>
  <si>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</si>
  <si>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</si>
  <si>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</si>
  <si>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</si>
  <si>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</si>
  <si>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</si>
  <si>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</si>
  <si>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</si>
  <si>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</si>
  <si>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</si>
  <si>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</si>
  <si>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</si>
  <si>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</si>
  <si>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</si>
  <si>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</si>
  <si>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</si>
  <si>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</si>
  <si>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</si>
  <si>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</si>
  <si>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</si>
  <si>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</si>
  <si>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</si>
  <si>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</si>
  <si>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</si>
  <si>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</si>
  <si>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</si>
  <si>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</si>
  <si>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</si>
  <si>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</si>
  <si>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</si>
  <si>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</si>
  <si>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</si>
  <si>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</si>
  <si>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</si>
  <si>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</si>
  <si>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</si>
  <si>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</si>
  <si>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</si>
  <si>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</si>
  <si>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</si>
  <si>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</si>
  <si>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</si>
  <si>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</si>
  <si>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</si>
  <si>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</si>
  <si>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</si>
  <si>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</si>
  <si>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</si>
  <si>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</si>
  <si>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</si>
  <si>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</si>
  <si>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</si>
  <si>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</si>
  <si>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</si>
  <si>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</si>
  <si>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</si>
  <si>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</si>
  <si>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</si>
  <si>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</si>
  <si>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</si>
  <si>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</si>
  <si>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</si>
  <si>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</si>
  <si>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</si>
  <si>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</si>
  <si>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</si>
  <si>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</si>
  <si>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</si>
  <si>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</si>
  <si>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</si>
  <si>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</si>
  <si>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</si>
  <si>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</si>
  <si>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</si>
  <si>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</si>
  <si>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</si>
  <si>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</si>
  <si>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</si>
  <si>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</si>
  <si>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</si>
  <si>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</si>
  <si>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</si>
  <si>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</si>
  <si>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</si>
  <si>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</si>
  <si>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</si>
  <si>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</si>
  <si>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</si>
  <si>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</si>
  <si>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</si>
  <si>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</si>
  <si>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</si>
  <si>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</si>
  <si>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</si>
  <si>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</si>
  <si>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</si>
  <si>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</si>
  <si>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</si>
  <si>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</si>
  <si>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</si>
  <si>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</si>
  <si>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</si>
  <si>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</si>
  <si>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</si>
  <si>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</si>
  <si>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</si>
  <si>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</si>
  <si>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</si>
  <si>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</si>
  <si>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</si>
  <si>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</si>
  <si>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</si>
  <si>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</si>
  <si>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</si>
  <si>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</si>
  <si>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</si>
  <si>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</si>
  <si>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</si>
  <si>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</si>
  <si>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</si>
  <si>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</si>
  <si>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</si>
  <si>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</si>
  <si>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</si>
  <si>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</si>
  <si>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</si>
  <si>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</si>
  <si>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</si>
  <si>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</si>
  <si>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</si>
  <si>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</si>
  <si>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</si>
  <si>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</si>
  <si>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</si>
  <si>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</si>
  <si>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</si>
  <si>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</si>
  <si>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</si>
  <si>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</si>
  <si>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</si>
  <si>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</si>
  <si>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</si>
  <si>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</si>
  <si>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</si>
  <si>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</si>
  <si>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</si>
  <si>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</si>
  <si>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</si>
  <si>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</si>
  <si>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</si>
  <si>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</si>
  <si>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</si>
  <si>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</si>
  <si>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</si>
  <si>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</si>
  <si>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</si>
  <si>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</si>
  <si>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</si>
  <si>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</si>
  <si>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</si>
  <si>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</si>
  <si>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</si>
  <si>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</si>
  <si>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</si>
  <si>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</si>
  <si>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</si>
  <si>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</si>
  <si>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</si>
  <si>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</si>
  <si>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</si>
  <si>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</si>
  <si>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</si>
  <si>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</si>
  <si>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</si>
  <si>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</si>
  <si>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</si>
  <si>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</si>
  <si>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</si>
  <si>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</si>
  <si>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</si>
  <si>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</si>
  <si>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</si>
  <si>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</si>
  <si>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</si>
  <si>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</si>
  <si>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</si>
  <si>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</si>
  <si>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</si>
  <si>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</si>
  <si>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</si>
  <si>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</si>
  <si>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</si>
  <si>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</si>
  <si>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</si>
  <si>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</si>
  <si>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</si>
  <si>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</si>
  <si>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</si>
  <si>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</si>
  <si>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</si>
  <si>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</si>
  <si>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</si>
  <si>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</si>
  <si>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</si>
  <si>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</si>
  <si>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</si>
  <si>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</si>
  <si>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</si>
  <si>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</si>
  <si>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</si>
  <si>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</si>
  <si>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</si>
  <si>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</si>
  <si>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</si>
  <si>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</si>
  <si>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</si>
  <si>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</si>
  <si>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</si>
  <si>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</si>
  <si>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</si>
  <si>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</si>
  <si>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</si>
  <si>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</si>
  <si>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</si>
  <si>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</si>
  <si>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</si>
  <si>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</si>
  <si>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</si>
  <si>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</si>
  <si>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</si>
  <si>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</si>
  <si>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</si>
  <si>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</si>
  <si>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</si>
  <si>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</si>
  <si>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</si>
  <si>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</si>
  <si>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</si>
  <si>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</si>
  <si>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</si>
  <si>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</si>
  <si>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</si>
  <si>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</si>
  <si>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</si>
  <si>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</si>
  <si>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</si>
  <si>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</si>
  <si>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</si>
  <si>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</si>
  <si>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</si>
  <si>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</si>
  <si>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</si>
  <si>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</si>
  <si>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</si>
  <si>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</si>
  <si>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</si>
  <si>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</si>
  <si>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</si>
  <si>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</si>
  <si>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</si>
  <si>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</si>
  <si>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</si>
  <si>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</si>
  <si>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</si>
  <si>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</si>
  <si>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</si>
  <si>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</si>
  <si>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</si>
  <si>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</si>
  <si>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</si>
  <si>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</si>
  <si>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</si>
  <si>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</si>
  <si>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</si>
  <si>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</si>
  <si>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</si>
  <si>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</si>
  <si>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</si>
  <si>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</si>
  <si>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</si>
  <si>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</si>
  <si>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</si>
  <si>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</si>
  <si>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</si>
  <si>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</si>
  <si>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</si>
  <si>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</si>
  <si>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</si>
  <si>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</si>
  <si>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</si>
  <si>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</si>
  <si>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</si>
  <si>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</si>
  <si>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</si>
  <si>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</si>
  <si>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</si>
  <si>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</si>
  <si>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</si>
  <si>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</si>
  <si>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</si>
  <si>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</si>
  <si>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</si>
  <si>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</si>
  <si>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</si>
  <si>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</si>
  <si>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</si>
  <si>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</si>
  <si>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</si>
  <si>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</si>
  <si>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</si>
  <si>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</si>
  <si>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</si>
  <si>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</si>
  <si>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</si>
  <si>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</si>
  <si>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</si>
  <si>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</si>
  <si>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</si>
  <si>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</si>
  <si>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</si>
  <si>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</si>
  <si>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</si>
  <si>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</si>
  <si>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</si>
  <si>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</si>
  <si>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</si>
  <si>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</si>
  <si>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</si>
  <si>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</si>
  <si>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</si>
  <si>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</si>
  <si>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</si>
  <si>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</si>
  <si>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</si>
  <si>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</si>
  <si>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</si>
  <si>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</si>
  <si>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</si>
  <si>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</si>
  <si>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</si>
  <si>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</si>
  <si>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</si>
  <si>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</si>
  <si>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</si>
  <si>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</si>
  <si>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</si>
  <si>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</si>
  <si>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</si>
  <si>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</si>
  <si>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</si>
  <si>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</si>
  <si>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</si>
  <si>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</si>
  <si>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</si>
  <si>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</si>
  <si>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</si>
  <si>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</si>
  <si>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</si>
  <si>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</si>
  <si>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</si>
  <si>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</si>
  <si>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</si>
  <si>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</si>
  <si>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</si>
  <si>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</si>
  <si>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</si>
  <si>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</si>
  <si>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</si>
  <si>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</si>
  <si>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</si>
  <si>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</si>
  <si>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</si>
  <si>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</si>
  <si>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</si>
  <si>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</si>
  <si>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</si>
  <si>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</si>
  <si>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</si>
  <si>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</si>
  <si>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</si>
  <si>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</si>
  <si>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</si>
  <si>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</si>
  <si>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</si>
  <si>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</si>
  <si>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</si>
  <si>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</si>
  <si>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</si>
  <si>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</si>
  <si>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</si>
  <si>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</si>
  <si>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</si>
  <si>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</si>
  <si>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</si>
  <si>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</si>
  <si>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</si>
  <si>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</si>
  <si>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</si>
  <si>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</si>
  <si>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</si>
  <si>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</si>
  <si>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</si>
  <si>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</si>
  <si>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</si>
  <si>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</si>
  <si>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</si>
  <si>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</si>
  <si>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</si>
  <si>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</si>
  <si>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</si>
  <si>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</si>
  <si>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</si>
  <si>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</si>
  <si>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</si>
  <si>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</si>
  <si>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</si>
  <si>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</si>
  <si>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</si>
  <si>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</si>
  <si>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</si>
  <si>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</si>
  <si>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</si>
  <si>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</si>
  <si>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</si>
  <si>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</si>
  <si>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</si>
  <si>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</si>
  <si>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</si>
  <si>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</si>
  <si>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</si>
  <si>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</si>
  <si>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</si>
  <si>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</si>
  <si>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</si>
  <si>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</si>
  <si>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</si>
  <si>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</si>
  <si>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</si>
  <si>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</si>
  <si>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</si>
  <si>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</si>
  <si>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</si>
  <si>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</si>
  <si>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</si>
  <si>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</si>
  <si>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</si>
  <si>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</si>
  <si>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</si>
  <si>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</si>
  <si>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</si>
  <si>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</si>
  <si>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</si>
  <si>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</si>
  <si>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</si>
  <si>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</si>
  <si>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</si>
  <si>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</si>
  <si>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</si>
  <si>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</si>
  <si>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</si>
  <si>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</si>
  <si>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</si>
  <si>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</si>
  <si>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</si>
  <si>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</si>
  <si>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</si>
  <si>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</si>
  <si>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</si>
  <si>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</si>
  <si>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</si>
  <si>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</si>
  <si>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</si>
  <si>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</si>
  <si>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</si>
  <si>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</si>
  <si>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</si>
  <si>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</si>
  <si>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</si>
  <si>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</si>
  <si>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</si>
  <si>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</si>
  <si>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</si>
  <si>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</si>
  <si>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</si>
  <si>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</si>
  <si>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</si>
  <si>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</si>
  <si>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</si>
  <si>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</si>
  <si>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</si>
  <si>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</si>
  <si>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</si>
  <si>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</si>
  <si>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</si>
  <si>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</si>
  <si>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</si>
  <si>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</si>
  <si>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</si>
  <si>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</si>
  <si>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</si>
  <si>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</si>
  <si>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</si>
  <si>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</si>
  <si>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</si>
  <si>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</si>
  <si>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</si>
  <si>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</si>
  <si>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</si>
  <si>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</si>
  <si>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</si>
  <si>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</si>
  <si>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</si>
  <si>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</si>
  <si>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</si>
  <si>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</si>
  <si>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</si>
  <si>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</si>
  <si>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</si>
  <si>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</si>
  <si>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</si>
  <si>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</si>
  <si>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</si>
  <si>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</si>
  <si>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</si>
  <si>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</si>
  <si>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</si>
  <si>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</si>
  <si>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</si>
  <si>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</si>
  <si>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</si>
  <si>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</si>
  <si>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</si>
  <si>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</si>
  <si>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</si>
  <si>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</si>
  <si>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</si>
  <si>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</si>
  <si>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</si>
  <si>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</si>
  <si>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</si>
  <si>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</si>
  <si>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</si>
  <si>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</si>
  <si>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</si>
  <si>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</si>
  <si>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</si>
  <si>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</si>
  <si>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</si>
  <si>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</si>
  <si>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</si>
  <si>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</si>
  <si>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</si>
  <si>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</si>
  <si>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</si>
  <si>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</si>
  <si>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</si>
  <si>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</si>
  <si>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</si>
  <si>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</si>
  <si>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</si>
  <si>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</si>
  <si>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</si>
  <si>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</si>
  <si>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</si>
  <si>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</si>
  <si>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</si>
  <si>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</si>
  <si>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</si>
  <si>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</si>
  <si>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</si>
  <si>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</si>
  <si>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</si>
  <si>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</si>
  <si>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</si>
  <si>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</si>
  <si>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</si>
  <si>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</si>
  <si>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</si>
  <si>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</si>
  <si>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</si>
  <si>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</si>
  <si>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</si>
  <si>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</si>
  <si>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</si>
  <si>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</si>
  <si>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</si>
  <si>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</si>
  <si>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</si>
  <si>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</si>
  <si>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</si>
  <si>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</si>
  <si>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</si>
  <si>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</si>
  <si>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</si>
  <si>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</si>
  <si>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</si>
  <si>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</si>
  <si>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</si>
  <si>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</si>
  <si>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</si>
  <si>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</si>
  <si>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</si>
  <si>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</si>
  <si>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</si>
  <si>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</si>
  <si>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</si>
  <si>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</si>
  <si>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</si>
  <si>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</si>
  <si>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</si>
  <si>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</si>
  <si>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</si>
  <si>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</si>
  <si>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</si>
  <si>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</si>
  <si>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</si>
  <si>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</si>
  <si>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</si>
  <si>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</si>
  <si>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</si>
  <si>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</si>
  <si>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</si>
  <si>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</si>
  <si>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</si>
  <si>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</si>
  <si>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</si>
  <si>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</si>
  <si>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</si>
  <si>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</si>
  <si>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</si>
  <si>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</si>
  <si>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</si>
  <si>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</si>
  <si>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</si>
  <si>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</si>
  <si>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</si>
  <si>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</si>
  <si>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</si>
  <si>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</si>
  <si>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</si>
  <si>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</si>
  <si>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</si>
  <si>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</si>
  <si>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</si>
  <si>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</si>
  <si>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</si>
  <si>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</si>
  <si>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</si>
  <si>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</si>
  <si>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</si>
  <si>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</si>
  <si>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</si>
  <si>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</si>
  <si>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</si>
  <si>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</si>
  <si>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</si>
  <si>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</si>
  <si>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</si>
  <si>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</si>
  <si>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</si>
  <si>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</si>
  <si>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</si>
  <si>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</si>
  <si>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</si>
  <si>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</si>
  <si>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</si>
  <si>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</si>
  <si>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</si>
  <si>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</si>
  <si>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</si>
  <si>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</si>
  <si>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</si>
  <si>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</si>
  <si>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</si>
  <si>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</si>
  <si>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</si>
  <si>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</si>
  <si>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</si>
  <si>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</si>
  <si>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</si>
  <si>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</si>
  <si>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</si>
  <si>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</si>
  <si>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</si>
  <si>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</si>
  <si>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</si>
  <si>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</si>
  <si>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</si>
  <si>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</si>
  <si>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</si>
  <si>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</si>
  <si>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</si>
  <si>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</si>
  <si>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</si>
  <si>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</si>
  <si>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</si>
  <si>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</si>
  <si>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</si>
  <si>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</si>
  <si>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</si>
  <si>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</si>
  <si>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</si>
  <si>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</si>
  <si>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</si>
  <si>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</si>
  <si>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</si>
  <si>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</si>
  <si>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</si>
  <si>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</si>
  <si>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</si>
  <si>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</si>
  <si>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</si>
  <si>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</si>
  <si>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</si>
  <si>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</si>
  <si>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</si>
  <si>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</si>
  <si>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</si>
  <si>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</si>
  <si>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</si>
  <si>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</si>
  <si>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</si>
  <si>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</si>
  <si>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</si>
  <si>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</si>
  <si>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</si>
  <si>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</si>
  <si>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</si>
  <si>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</si>
  <si>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</si>
  <si>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</si>
  <si>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</si>
  <si>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</si>
  <si>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</si>
  <si>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</si>
  <si>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</si>
  <si>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</si>
  <si>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</si>
  <si>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</si>
  <si>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</si>
  <si>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</si>
  <si>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</si>
  <si>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</si>
  <si>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</si>
  <si>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</si>
  <si>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</si>
  <si>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</si>
  <si>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</si>
  <si>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</si>
  <si>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</si>
  <si>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</si>
  <si>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</si>
  <si>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</si>
  <si>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</si>
  <si>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</si>
  <si>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</si>
  <si>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</si>
  <si>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</si>
  <si>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</si>
  <si>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</si>
  <si>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</si>
  <si>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</si>
  <si>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</si>
  <si>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</si>
  <si>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</si>
  <si>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</si>
  <si>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</si>
  <si>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</si>
  <si>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</si>
  <si>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</si>
  <si>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</si>
  <si>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</si>
  <si>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</si>
  <si>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</si>
  <si>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</si>
  <si>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</si>
  <si>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</si>
  <si>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</si>
  <si>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</si>
  <si>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</si>
  <si>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</si>
  <si>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</si>
  <si>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</si>
  <si>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</si>
  <si>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</si>
  <si>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</si>
  <si>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</si>
  <si>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</si>
  <si>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</si>
  <si>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</si>
  <si>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</si>
  <si>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</si>
  <si>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</si>
  <si>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</si>
  <si>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</si>
  <si>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</si>
  <si>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</si>
  <si>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</si>
  <si>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</si>
  <si>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</si>
  <si>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</si>
  <si>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</si>
  <si>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</si>
  <si>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</si>
  <si>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</si>
  <si>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</si>
  <si>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</si>
  <si>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</si>
  <si>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</si>
  <si>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</si>
  <si>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</si>
  <si>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</si>
  <si>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</si>
  <si>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</si>
  <si>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</si>
  <si>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</si>
  <si>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</si>
  <si>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</si>
  <si>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</si>
  <si>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</si>
  <si>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</si>
  <si>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</si>
  <si>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</si>
  <si>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</si>
  <si>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</si>
  <si>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</si>
  <si>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</si>
  <si>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</si>
  <si>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</si>
  <si>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</si>
  <si>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</si>
  <si>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</si>
  <si>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</si>
  <si>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</si>
  <si>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</si>
  <si>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</si>
  <si>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</si>
  <si>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</si>
  <si>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</si>
  <si>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</si>
  <si>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</si>
  <si>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</si>
  <si>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</si>
  <si>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</si>
  <si>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</si>
  <si>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</si>
  <si>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</si>
  <si>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</si>
  <si>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</si>
  <si>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</si>
  <si>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</si>
  <si>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</si>
  <si>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</si>
  <si>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</si>
  <si>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</si>
  <si>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</si>
  <si>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</si>
  <si>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</si>
  <si>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</si>
  <si>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</si>
  <si>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</si>
  <si>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</si>
  <si>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</si>
  <si>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</si>
  <si>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</si>
  <si>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</si>
  <si>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</si>
  <si>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</si>
  <si>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</si>
  <si>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</si>
  <si>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</si>
  <si>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</si>
  <si>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</si>
  <si>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</si>
  <si>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</si>
  <si>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</si>
  <si>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</si>
  <si>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</si>
  <si>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</si>
  <si>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</si>
  <si>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</si>
  <si>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</si>
  <si>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</si>
  <si>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</si>
  <si>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</si>
  <si>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</si>
  <si>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</si>
  <si>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</si>
  <si>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</si>
  <si>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</si>
  <si>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</si>
  <si>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</si>
  <si>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</si>
  <si>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</si>
  <si>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</si>
  <si>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</si>
  <si>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</si>
  <si>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</si>
  <si>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</si>
  <si>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</si>
  <si>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</si>
  <si>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</si>
  <si>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</si>
  <si>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</si>
  <si>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</si>
  <si>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</si>
  <si>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</si>
  <si>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</si>
  <si>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</si>
  <si>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</si>
  <si>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</si>
  <si>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</si>
  <si>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</si>
  <si>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</si>
  <si>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</si>
  <si>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</si>
  <si>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</si>
  <si>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</si>
  <si>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</si>
  <si>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</si>
  <si>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</si>
  <si>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</si>
  <si>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</si>
  <si>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</si>
  <si>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</si>
  <si>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</si>
  <si>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</si>
  <si>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</si>
  <si>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</si>
  <si>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</si>
  <si>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</si>
  <si>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</si>
  <si>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</si>
  <si>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</si>
  <si>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</si>
  <si>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</si>
  <si>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</si>
  <si>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</si>
  <si>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</si>
  <si>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</si>
  <si>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</si>
  <si>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</si>
  <si>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</si>
  <si>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</si>
  <si>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</si>
  <si>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</si>
  <si>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</si>
  <si>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</si>
  <si>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</si>
  <si>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</si>
  <si>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</si>
  <si>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</si>
  <si>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</si>
  <si>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</si>
  <si>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</si>
  <si>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</si>
  <si>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</si>
  <si>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</si>
  <si>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</si>
  <si>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</si>
  <si>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</si>
  <si>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</si>
  <si>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</si>
  <si>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</si>
  <si>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</si>
  <si>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</si>
  <si>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</si>
  <si>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</si>
  <si>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</si>
  <si>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</si>
  <si>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</si>
  <si>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</si>
  <si>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</si>
  <si>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</si>
  <si>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</si>
  <si>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</si>
  <si>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</si>
  <si>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</si>
  <si>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</si>
  <si>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</si>
  <si>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</si>
  <si>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</si>
  <si>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</si>
  <si>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</si>
  <si>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</si>
  <si>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</si>
  <si>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</si>
  <si>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</si>
  <si>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</si>
  <si>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</si>
  <si>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</si>
  <si>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</si>
  <si>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</si>
  <si>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</si>
  <si>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</si>
  <si>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</si>
  <si>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</si>
  <si>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</si>
  <si>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</si>
  <si>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</si>
  <si>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</si>
  <si>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</si>
  <si>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</si>
  <si>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</si>
  <si>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</si>
  <si>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</si>
  <si>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</si>
  <si>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</si>
  <si>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</si>
  <si>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</si>
  <si>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</si>
  <si>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</si>
  <si>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</si>
  <si>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</si>
  <si>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</si>
  <si>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</si>
  <si>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</si>
  <si>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</si>
  <si>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</si>
  <si>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</si>
  <si>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</si>
  <si>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</si>
  <si>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</si>
  <si>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</si>
  <si>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</si>
  <si>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</si>
  <si>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</si>
  <si>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</si>
  <si>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</si>
  <si>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</si>
  <si>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</si>
  <si>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</si>
  <si>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</si>
  <si>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</si>
  <si>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</si>
  <si>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</si>
  <si>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</si>
  <si>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</si>
  <si>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</si>
  <si>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</si>
  <si>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</si>
  <si>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</si>
  <si>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</si>
  <si>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</si>
  <si>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</si>
  <si>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</si>
  <si>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</si>
  <si>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</si>
  <si>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</si>
  <si>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</si>
  <si>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</si>
  <si>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</si>
  <si>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</si>
  <si>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</si>
  <si>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</si>
  <si>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</si>
  <si>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</si>
  <si>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</si>
  <si>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</si>
  <si>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</si>
  <si>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</si>
  <si>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</si>
  <si>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</si>
  <si>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</si>
  <si>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</si>
  <si>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</si>
  <si>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</si>
  <si>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</si>
  <si>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</si>
  <si>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</si>
  <si>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</si>
  <si>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</si>
  <si>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</si>
  <si>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</si>
  <si>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</si>
  <si>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</si>
  <si>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</si>
  <si>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</si>
  <si>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</si>
  <si>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</si>
  <si>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</si>
  <si>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</si>
  <si>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</si>
  <si>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</si>
  <si>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</si>
  <si>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</si>
  <si>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</si>
  <si>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</si>
  <si>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</si>
  <si>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</si>
  <si>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</si>
  <si>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</si>
  <si>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</si>
  <si>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</si>
  <si>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</si>
  <si>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</si>
  <si>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</si>
  <si>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</si>
  <si>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</si>
  <si>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</si>
  <si>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</si>
  <si>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</si>
  <si>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</si>
  <si>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</si>
  <si>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</si>
  <si>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</si>
  <si>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</si>
  <si>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</si>
  <si>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</si>
  <si>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</si>
  <si>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</si>
  <si>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</si>
  <si>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</si>
  <si>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</si>
  <si>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</si>
  <si>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</si>
  <si>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</si>
  <si>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</si>
  <si>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</si>
  <si>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</si>
  <si>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</si>
  <si>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</si>
  <si>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</si>
  <si>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</si>
  <si>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</si>
  <si>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</si>
  <si>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</si>
  <si>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</si>
  <si>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</si>
  <si>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</si>
  <si>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</si>
  <si>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</si>
  <si>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</si>
  <si>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</si>
  <si>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</si>
  <si>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</si>
  <si>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</si>
  <si>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</si>
  <si>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</si>
  <si>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</si>
  <si>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</si>
  <si>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</si>
  <si>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</si>
  <si>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</si>
  <si>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</si>
  <si>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</si>
  <si>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</si>
  <si>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</si>
  <si>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</si>
  <si>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</si>
  <si>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</si>
  <si>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</si>
  <si>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</si>
  <si>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</si>
  <si>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</si>
  <si>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</si>
  <si>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</si>
  <si>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</si>
  <si>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</si>
  <si>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</si>
  <si>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</si>
  <si>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</si>
  <si>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</si>
  <si>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</si>
  <si>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</si>
  <si>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</si>
  <si>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</si>
  <si>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</si>
  <si>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</si>
  <si>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</si>
  <si>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</si>
  <si>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</si>
  <si>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</si>
  <si>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</si>
  <si>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</si>
  <si>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</si>
  <si>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</si>
  <si>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</si>
  <si>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</si>
  <si>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</si>
  <si>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</si>
  <si>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</si>
  <si>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</si>
  <si>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</si>
  <si>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</si>
  <si>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</si>
  <si>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</si>
  <si>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</si>
  <si>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</si>
  <si>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</si>
  <si>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</si>
  <si>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</si>
  <si>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</si>
  <si>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</si>
  <si>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</si>
  <si>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</si>
  <si>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</si>
  <si>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</si>
  <si>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</si>
  <si>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</si>
  <si>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</si>
  <si>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</si>
  <si>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</si>
  <si>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</si>
  <si>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</si>
  <si>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</si>
  <si>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</si>
  <si>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</si>
  <si>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</si>
  <si>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</si>
  <si>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</si>
  <si>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</si>
  <si>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</si>
  <si>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</si>
  <si>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</si>
  <si>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</si>
  <si>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</si>
  <si>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</si>
  <si>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</si>
  <si>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</si>
  <si>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</si>
  <si>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</si>
  <si>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</si>
  <si>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</si>
  <si>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</si>
  <si>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</si>
  <si>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</si>
  <si>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</si>
  <si>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</si>
  <si>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</si>
  <si>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</si>
  <si>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</si>
  <si>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</si>
  <si>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</si>
  <si>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</si>
  <si>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</si>
  <si>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</si>
  <si>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</si>
  <si>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</si>
  <si>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</si>
  <si>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</si>
  <si>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</si>
  <si>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</si>
  <si>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</si>
  <si>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</si>
  <si>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</si>
  <si>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</si>
  <si>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</si>
  <si>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</si>
  <si>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</si>
  <si>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</si>
  <si>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</si>
  <si>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</si>
  <si>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</si>
  <si>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</si>
  <si>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</si>
  <si>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</si>
  <si>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</si>
  <si>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</si>
  <si>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</si>
  <si>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</si>
  <si>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</si>
  <si>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</si>
  <si>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</si>
  <si>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</si>
  <si>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</si>
  <si>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</si>
  <si>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</si>
  <si>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</si>
  <si>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</si>
  <si>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</si>
  <si>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</si>
  <si>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</si>
  <si>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</si>
  <si>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</si>
  <si>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</si>
  <si>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</si>
  <si>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</si>
  <si>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</si>
  <si>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</si>
  <si>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</si>
  <si>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</si>
  <si>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</si>
  <si>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</si>
  <si>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</si>
  <si>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</si>
  <si>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</si>
  <si>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</si>
  <si>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</si>
  <si>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</si>
  <si>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</si>
  <si>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</si>
  <si>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</si>
  <si>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</si>
  <si>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</si>
  <si>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</si>
  <si>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</si>
  <si>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</si>
  <si>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</si>
  <si>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</si>
  <si>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</si>
  <si>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</si>
  <si>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</si>
  <si>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</si>
  <si>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</si>
  <si>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</si>
  <si>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</si>
  <si>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</si>
  <si>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</si>
  <si>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</si>
  <si>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</si>
  <si>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</si>
  <si>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</si>
  <si>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</si>
  <si>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</si>
  <si>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</si>
  <si>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</si>
  <si>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</si>
  <si>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</si>
  <si>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</si>
  <si>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</si>
  <si>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</si>
  <si>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</si>
  <si>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</si>
  <si>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</si>
  <si>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</si>
  <si>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</si>
  <si>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</si>
  <si>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</si>
  <si>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</si>
  <si>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</si>
  <si>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</si>
  <si>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</si>
  <si>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</si>
  <si>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</si>
  <si>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</si>
  <si>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</si>
  <si>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</si>
  <si>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</si>
  <si>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</si>
  <si>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</si>
  <si>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</si>
  <si>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</si>
  <si>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</si>
  <si>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</si>
  <si>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</si>
  <si>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</si>
  <si>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</si>
  <si>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</si>
  <si>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</si>
  <si>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</si>
  <si>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</si>
  <si>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</si>
  <si>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</si>
  <si>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</si>
  <si>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</si>
  <si>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</si>
  <si>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</si>
  <si>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</si>
  <si>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</si>
  <si>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</si>
  <si>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</si>
  <si>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</si>
  <si>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</si>
  <si>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</si>
  <si>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</si>
  <si>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</si>
  <si>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</si>
  <si>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</si>
  <si>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</si>
  <si>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</si>
  <si>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</si>
  <si>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</si>
  <si>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</si>
  <si>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</si>
  <si>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</si>
  <si>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</si>
  <si>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</si>
  <si>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</si>
  <si>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</si>
  <si>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</si>
  <si>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</si>
  <si>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</si>
  <si>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</si>
  <si>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</si>
  <si>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</si>
  <si>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</si>
  <si>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</si>
  <si>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</si>
  <si>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</si>
  <si>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</si>
  <si>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</si>
  <si>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</si>
  <si>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</si>
  <si>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</si>
  <si>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</si>
  <si>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</si>
  <si>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</si>
  <si>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</si>
  <si>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</si>
  <si>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</si>
  <si>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</si>
  <si>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</si>
  <si>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</si>
  <si>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</si>
  <si>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</si>
  <si>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</si>
  <si>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</si>
  <si>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</si>
  <si>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</si>
  <si>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</si>
  <si>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</si>
  <si>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</si>
  <si>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</si>
  <si>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</si>
  <si>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</si>
  <si>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</si>
  <si>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</si>
  <si>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</si>
  <si>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</si>
  <si>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</si>
  <si>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</si>
  <si>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</si>
  <si>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</si>
  <si>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</si>
  <si>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</si>
  <si>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</si>
  <si>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</si>
  <si>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</si>
  <si>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</si>
  <si>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</si>
  <si>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</si>
  <si>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</si>
  <si>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</si>
  <si>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</si>
  <si>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</si>
  <si>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</si>
  <si>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</si>
  <si>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</si>
  <si>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</si>
  <si>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</si>
  <si>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</si>
  <si>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</si>
  <si>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</si>
  <si>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</si>
  <si>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</si>
  <si>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</si>
  <si>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</si>
  <si>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</si>
  <si>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</si>
  <si>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</si>
  <si>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</si>
  <si>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</si>
  <si>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</si>
  <si>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</si>
  <si>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</si>
  <si>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</si>
  <si>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</si>
  <si>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</si>
  <si>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</si>
  <si>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</si>
  <si>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</si>
  <si>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</si>
  <si>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</si>
  <si>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</si>
  <si>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</si>
  <si>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</si>
  <si>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</si>
  <si>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</si>
  <si>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</si>
  <si>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</si>
  <si>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</si>
  <si>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</si>
  <si>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</si>
  <si>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</si>
  <si>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</si>
  <si>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</si>
  <si>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</si>
  <si>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</si>
  <si>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</si>
  <si>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</si>
  <si>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</si>
  <si>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</si>
  <si>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</si>
  <si>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</si>
  <si>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</si>
  <si>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</si>
  <si>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</si>
  <si>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</si>
  <si>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</si>
  <si>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</si>
  <si>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</si>
  <si>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</si>
  <si>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</si>
  <si>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</si>
  <si>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</si>
  <si>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</si>
  <si>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</si>
  <si>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</si>
  <si>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</si>
  <si>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</si>
  <si>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</si>
  <si>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</si>
  <si>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</si>
  <si>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</si>
  <si>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</si>
  <si>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</si>
  <si>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</si>
  <si>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</si>
  <si>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</si>
  <si>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</si>
  <si>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</si>
  <si>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</si>
  <si>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</si>
  <si>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</si>
  <si>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</si>
  <si>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</si>
  <si>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</si>
  <si>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</si>
  <si>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</si>
  <si>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</si>
  <si>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</si>
  <si>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</si>
  <si>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</si>
  <si>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</si>
  <si>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</si>
  <si>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</si>
  <si>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</si>
  <si>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</si>
  <si>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</si>
  <si>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</si>
  <si>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</si>
  <si>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</si>
  <si>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</si>
  <si>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</si>
  <si>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</si>
  <si>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</si>
  <si>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</si>
  <si>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</si>
  <si>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</si>
  <si>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</si>
  <si>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</si>
  <si>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</si>
  <si>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</si>
  <si>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</si>
  <si>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</si>
  <si>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</si>
  <si>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</si>
  <si>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</si>
  <si>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</si>
  <si>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</si>
  <si>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</si>
  <si>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</si>
  <si>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</si>
  <si>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</si>
  <si>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</si>
  <si>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</si>
  <si>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</si>
  <si>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</si>
  <si>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</si>
  <si>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</si>
  <si>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</si>
  <si>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</si>
  <si>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</si>
  <si>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</si>
  <si>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</si>
  <si>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</si>
  <si>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</si>
  <si>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</si>
  <si>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</si>
  <si>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</si>
  <si>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</si>
  <si>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</si>
  <si>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</si>
  <si>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</si>
  <si>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</si>
  <si>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</si>
  <si>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</si>
  <si>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</si>
  <si>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</si>
  <si>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</si>
  <si>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</si>
  <si>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</si>
  <si>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</si>
  <si>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</si>
  <si>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</si>
  <si>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</si>
  <si>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</si>
  <si>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</si>
  <si>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</si>
  <si>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</si>
  <si>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</si>
  <si>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</si>
  <si>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</si>
  <si>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</si>
  <si>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</si>
  <si>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</si>
  <si>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</si>
  <si>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</si>
  <si>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</si>
  <si>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</si>
  <si>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</si>
  <si>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</si>
  <si>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</si>
  <si>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</si>
  <si>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</si>
  <si>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</si>
  <si>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</si>
  <si>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</si>
  <si>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</si>
  <si>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</si>
  <si>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</si>
  <si>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</si>
  <si>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</si>
  <si>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</si>
  <si>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</si>
  <si>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</si>
  <si>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</si>
  <si>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</si>
  <si>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</si>
  <si>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</si>
  <si>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</si>
  <si>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</si>
  <si>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</si>
  <si>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</si>
  <si>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</si>
  <si>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</si>
  <si>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</si>
  <si>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</si>
  <si>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</si>
  <si>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</si>
  <si>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</si>
  <si>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</si>
  <si>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</si>
  <si>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</si>
  <si>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</si>
  <si>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</si>
  <si>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</si>
  <si>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</si>
  <si>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</si>
  <si>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</si>
  <si>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</si>
  <si>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</si>
  <si>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</si>
  <si>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</si>
  <si>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</si>
  <si>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</si>
  <si>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</si>
  <si>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</si>
  <si>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</si>
  <si>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</si>
  <si>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</si>
  <si>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</si>
  <si>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</si>
  <si>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</si>
  <si>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</si>
  <si>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</si>
  <si>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</si>
  <si>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</si>
  <si>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</si>
  <si>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</si>
  <si>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</si>
  <si>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</si>
  <si>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</si>
  <si>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</si>
  <si>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</si>
  <si>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</si>
  <si>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</si>
  <si>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</si>
  <si>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</si>
  <si>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</si>
  <si>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</si>
  <si>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</si>
  <si>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</si>
  <si>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</si>
  <si>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</si>
  <si>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</si>
  <si>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</si>
  <si>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</si>
  <si>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</si>
  <si>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</si>
  <si>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</si>
  <si>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</si>
  <si>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</si>
  <si>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</si>
  <si>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</si>
  <si>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</si>
  <si>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</si>
  <si>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</si>
  <si>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</si>
  <si>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</si>
  <si>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</si>
  <si>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</si>
  <si>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</si>
  <si>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</si>
  <si>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</si>
  <si>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</si>
  <si>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</si>
  <si>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</si>
  <si>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</si>
  <si>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</si>
  <si>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</si>
  <si>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</si>
  <si>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</si>
  <si>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</si>
  <si>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</si>
  <si>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</si>
  <si>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</si>
  <si>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</si>
  <si>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</si>
  <si>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</si>
  <si>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</si>
  <si>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</si>
  <si>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</si>
  <si>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</si>
  <si>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</si>
  <si>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</si>
  <si>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</si>
  <si>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</si>
  <si>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</si>
  <si>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</si>
  <si>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</si>
  <si>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</si>
  <si>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</si>
  <si>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</si>
  <si>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</si>
  <si>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</si>
  <si>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</si>
  <si>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</si>
  <si>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</si>
  <si>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</si>
  <si>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</si>
  <si>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</si>
  <si>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</si>
  <si>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</si>
  <si>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</si>
  <si>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</si>
  <si>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</si>
  <si>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</si>
  <si>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</si>
  <si>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</si>
  <si>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</si>
  <si>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</si>
  <si>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</si>
  <si>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</si>
  <si>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</si>
  <si>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</si>
  <si>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</si>
  <si>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</si>
  <si>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</si>
  <si>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</si>
  <si>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</si>
  <si>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</si>
  <si>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</si>
  <si>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</si>
  <si>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</si>
  <si>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</si>
  <si>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</si>
  <si>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</si>
  <si>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</si>
  <si>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</si>
  <si>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</si>
  <si>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</si>
  <si>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</si>
  <si>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</si>
  <si>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</si>
  <si>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</si>
  <si>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</si>
  <si>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</si>
  <si>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</si>
  <si>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</si>
  <si>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</si>
  <si>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</si>
  <si>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</si>
  <si>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</si>
  <si>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</si>
  <si>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</si>
  <si>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</si>
  <si>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</si>
  <si>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</si>
  <si>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</si>
  <si>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</si>
  <si>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</si>
  <si>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</si>
  <si>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</si>
  <si>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</si>
  <si>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</si>
  <si>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</si>
  <si>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</si>
  <si>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</si>
  <si>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</si>
  <si>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</si>
  <si>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</si>
  <si>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</si>
  <si>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</si>
  <si>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</si>
  <si>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</si>
  <si>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</si>
  <si>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</si>
  <si>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</si>
  <si>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</si>
  <si>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</si>
  <si>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</si>
  <si>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</si>
  <si>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</si>
  <si>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</si>
  <si>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</si>
  <si>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</si>
  <si>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</si>
  <si>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</si>
  <si>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</si>
  <si>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</si>
  <si>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</si>
  <si>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</si>
  <si>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</si>
  <si>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</si>
  <si>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</si>
  <si>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</si>
  <si>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</si>
  <si>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</si>
  <si>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</si>
  <si>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</si>
  <si>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</si>
  <si>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</si>
  <si>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</si>
  <si>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</si>
  <si>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</si>
  <si>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</si>
  <si>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</si>
  <si>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</si>
  <si>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</si>
  <si>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</si>
  <si>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</si>
  <si>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</si>
  <si>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</si>
  <si>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</si>
  <si>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</si>
  <si>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</si>
  <si>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</si>
  <si>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</si>
  <si>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</si>
  <si>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</si>
  <si>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</si>
  <si>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</si>
  <si>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</si>
  <si>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</si>
  <si>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</si>
  <si>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</si>
  <si>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</si>
  <si>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</si>
  <si>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</si>
  <si>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</si>
  <si>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</si>
  <si>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</si>
  <si>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</si>
  <si>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</si>
  <si>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</si>
  <si>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</si>
  <si>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</si>
  <si>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</si>
  <si>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</si>
  <si>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</si>
  <si>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</si>
  <si>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</si>
  <si>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</si>
  <si>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</si>
  <si>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</si>
  <si>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</si>
  <si>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</si>
  <si>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</si>
  <si>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</si>
  <si>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</si>
  <si>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</si>
  <si>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</si>
  <si>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</si>
  <si>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</si>
  <si>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</si>
  <si>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</si>
  <si>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</si>
  <si>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</si>
  <si>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</si>
  <si>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</si>
  <si>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</si>
  <si>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</si>
  <si>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</si>
  <si>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</si>
  <si>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</si>
  <si>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</si>
  <si>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</si>
  <si>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</si>
  <si>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</si>
  <si>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</si>
  <si>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</si>
  <si>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</si>
  <si>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</si>
  <si>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</si>
  <si>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</si>
  <si>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</si>
  <si>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</si>
  <si>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</si>
  <si>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</si>
  <si>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</si>
  <si>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</si>
  <si>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</si>
  <si>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</si>
  <si>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</si>
  <si>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</si>
  <si>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</si>
  <si>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</si>
  <si>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</si>
  <si>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</si>
  <si>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</si>
  <si>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</si>
  <si>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</si>
  <si>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</si>
  <si>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</si>
  <si>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</si>
  <si>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</si>
  <si>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</si>
  <si>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</si>
  <si>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</si>
  <si>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</si>
  <si>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</si>
  <si>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</si>
  <si>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</si>
  <si>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</si>
  <si>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</si>
  <si>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</si>
  <si>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</si>
  <si>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</si>
  <si>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</si>
  <si>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</si>
  <si>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</si>
  <si>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</si>
  <si>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</si>
  <si>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</si>
  <si>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</si>
  <si>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</si>
  <si>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</si>
  <si>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</si>
  <si>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</si>
  <si>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</si>
  <si>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</si>
  <si>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</si>
  <si>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</si>
  <si>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</si>
  <si>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</si>
  <si>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</si>
  <si>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</si>
  <si>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</si>
  <si>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</si>
  <si>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</si>
  <si>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</si>
  <si>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</si>
  <si>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</si>
  <si>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</si>
  <si>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</si>
  <si>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</si>
  <si>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</si>
  <si>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</si>
  <si>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</si>
  <si>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</si>
  <si>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</si>
  <si>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</si>
  <si>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</si>
  <si>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</si>
  <si>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</si>
  <si>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</si>
  <si>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</si>
  <si>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</si>
  <si>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</si>
  <si>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</si>
  <si>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</si>
  <si>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</si>
  <si>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</si>
  <si>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</si>
  <si>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</si>
  <si>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</si>
  <si>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</si>
  <si>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</si>
  <si>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</si>
  <si>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</si>
  <si>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</si>
  <si>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</si>
  <si>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</si>
  <si>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</si>
  <si>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</si>
  <si>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</si>
  <si>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</si>
  <si>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</si>
  <si>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</si>
  <si>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</si>
  <si>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</si>
  <si>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</si>
  <si>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</si>
  <si>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</si>
  <si>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</si>
  <si>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</si>
  <si>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</si>
  <si>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</si>
  <si>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</si>
  <si>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</si>
  <si>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</si>
  <si>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</si>
  <si>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</si>
  <si>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</si>
  <si>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</si>
  <si>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</si>
  <si>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</si>
  <si>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</si>
  <si>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</si>
  <si>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</si>
  <si>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</si>
  <si>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</si>
  <si>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</si>
  <si>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</si>
  <si>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</si>
  <si>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</si>
  <si>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</si>
  <si>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</si>
  <si>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</si>
  <si>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</si>
  <si>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</si>
  <si>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</si>
  <si>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</si>
  <si>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</si>
  <si>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</si>
  <si>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</si>
  <si>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</si>
  <si>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</si>
  <si>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</si>
  <si>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</si>
  <si>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</si>
  <si>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</si>
  <si>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</si>
  <si>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</si>
  <si>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</si>
  <si>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</si>
  <si>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</si>
  <si>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</si>
  <si>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</si>
  <si>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</si>
  <si>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</si>
  <si>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</si>
  <si>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</si>
  <si>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</si>
  <si>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</si>
  <si>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</si>
  <si>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</si>
  <si>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</si>
  <si>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</si>
  <si>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</si>
  <si>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</si>
  <si>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</si>
  <si>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</si>
  <si>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</si>
  <si>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</si>
  <si>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</si>
  <si>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</si>
  <si>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</si>
  <si>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</si>
  <si>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</si>
  <si>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</si>
  <si>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</si>
  <si>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</si>
  <si>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</si>
  <si>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</si>
  <si>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</si>
  <si>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</si>
  <si>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</si>
  <si>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</si>
  <si>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</si>
  <si>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</si>
  <si>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</si>
  <si>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</si>
  <si>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</si>
  <si>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</si>
  <si>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</si>
  <si>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</si>
  <si>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</si>
  <si>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</si>
  <si>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</si>
  <si>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</si>
  <si>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</si>
  <si>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</si>
  <si>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</si>
  <si>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</si>
  <si>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</si>
  <si>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</si>
  <si>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</si>
  <si>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</si>
  <si>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</si>
  <si>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</si>
  <si>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</si>
  <si>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</si>
  <si>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</si>
  <si>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</si>
  <si>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</si>
  <si>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</si>
  <si>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</si>
  <si>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</si>
  <si>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</si>
  <si>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</si>
  <si>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</si>
  <si>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</si>
  <si>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</si>
  <si>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</si>
  <si>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</si>
  <si>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</si>
  <si>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</si>
  <si>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</si>
  <si>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</si>
  <si>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</si>
  <si>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</si>
  <si>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</si>
  <si>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</si>
  <si>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</si>
  <si>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</si>
  <si>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</si>
  <si>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</si>
  <si>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</si>
  <si>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</si>
  <si>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</si>
  <si>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</si>
  <si>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</si>
  <si>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</si>
  <si>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</si>
  <si>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</si>
  <si>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</si>
  <si>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</si>
  <si>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</si>
  <si>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</si>
  <si>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</si>
  <si>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</si>
  <si>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</si>
  <si>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</si>
  <si>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</si>
  <si>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</si>
  <si>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</si>
  <si>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</si>
  <si>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</si>
  <si>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</si>
  <si>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</si>
  <si>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</si>
  <si>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</si>
  <si>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</si>
  <si>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</si>
  <si>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</si>
  <si>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</si>
  <si>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</si>
  <si>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</si>
  <si>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</si>
  <si>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</si>
  <si>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</si>
  <si>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</si>
  <si>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</si>
  <si>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</si>
  <si>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</si>
  <si>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</si>
  <si>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</si>
  <si>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</si>
  <si>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</si>
  <si>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</si>
  <si>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</si>
  <si>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</si>
  <si>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</si>
  <si>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</si>
  <si>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</si>
  <si>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</si>
  <si>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</si>
  <si>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</si>
  <si>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</si>
  <si>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</si>
  <si>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</si>
  <si>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</si>
  <si>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</si>
  <si>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</si>
  <si>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</si>
  <si>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</si>
  <si>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</si>
  <si>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</si>
  <si>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</si>
  <si>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</si>
  <si>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</si>
  <si>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</si>
  <si>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</si>
  <si>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</si>
  <si>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</si>
  <si>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</si>
  <si>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</si>
  <si>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</si>
  <si>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</si>
  <si>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</si>
  <si>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</si>
  <si>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</si>
  <si>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</si>
  <si>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</si>
  <si>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</si>
  <si>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</si>
  <si>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</si>
  <si>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</si>
  <si>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</si>
  <si>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</si>
  <si>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</si>
  <si>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</si>
  <si>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</si>
  <si>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</si>
  <si>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</si>
  <si>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</si>
  <si>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</si>
  <si>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</si>
  <si>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</si>
  <si>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</si>
  <si>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</si>
  <si>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</si>
  <si>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</si>
  <si>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</si>
  <si>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</si>
  <si>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</si>
  <si>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</si>
  <si>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</si>
  <si>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</si>
  <si>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</si>
  <si>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</si>
  <si>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</si>
  <si>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</si>
  <si>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</si>
  <si>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</si>
  <si>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</si>
  <si>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</si>
  <si>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</si>
  <si>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</si>
  <si>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</si>
  <si>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</si>
  <si>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</si>
  <si>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</si>
  <si>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</si>
  <si>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</si>
  <si>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</si>
  <si>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</si>
  <si>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</si>
  <si>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</si>
  <si>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</si>
  <si>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</si>
  <si>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</si>
  <si>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</si>
  <si>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</si>
  <si>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</si>
  <si>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</si>
  <si>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</si>
  <si>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</si>
  <si>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</si>
  <si>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</si>
  <si>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</si>
  <si>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</si>
  <si>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</si>
  <si>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</si>
  <si>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</si>
  <si>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</si>
  <si>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</si>
  <si>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</si>
  <si>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</si>
  <si>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</si>
  <si>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</si>
  <si>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</si>
  <si>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</si>
  <si>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</si>
  <si>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</si>
  <si>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</si>
  <si>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</si>
  <si>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</si>
  <si>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</si>
  <si>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</si>
  <si>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</si>
  <si>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</si>
  <si>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</si>
  <si>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</si>
  <si>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</si>
  <si>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</si>
  <si>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</si>
  <si>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</si>
  <si>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</si>
  <si>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</si>
  <si>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</si>
  <si>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</si>
  <si>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</si>
  <si>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</si>
  <si>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</si>
  <si>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</si>
  <si>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</si>
  <si>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</si>
  <si>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</si>
  <si>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</si>
  <si>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</si>
  <si>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</si>
  <si>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</si>
  <si>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</si>
  <si>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</si>
  <si>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</si>
  <si>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</si>
  <si>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</si>
  <si>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</si>
  <si>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</si>
  <si>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</si>
  <si>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</si>
  <si>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</si>
  <si>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</si>
  <si>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</si>
  <si>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</si>
  <si>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</si>
  <si>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</si>
  <si>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</si>
  <si>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</si>
  <si>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</si>
  <si>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</si>
  <si>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</si>
  <si>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</si>
  <si>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</si>
  <si>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</si>
  <si>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</si>
  <si>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</si>
  <si>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</si>
  <si>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</si>
  <si>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</si>
  <si>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</si>
  <si>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</si>
  <si>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</si>
  <si>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</si>
  <si>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</si>
  <si>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</si>
  <si>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</si>
  <si>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</si>
  <si>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</si>
  <si>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</si>
  <si>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</si>
  <si>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</si>
  <si>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</si>
  <si>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</si>
  <si>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</si>
  <si>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</si>
  <si>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</si>
  <si>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</si>
  <si>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</si>
  <si>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</si>
  <si>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</si>
  <si>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</si>
  <si>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</si>
  <si>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</si>
  <si>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</si>
  <si>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</si>
  <si>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</si>
  <si>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</si>
  <si>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</si>
  <si>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</si>
  <si>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</si>
  <si>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</si>
  <si>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</si>
  <si>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</si>
  <si>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</si>
  <si>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</si>
  <si>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</si>
  <si>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</si>
  <si>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</si>
  <si>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</si>
  <si>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</si>
  <si>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</si>
  <si>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</si>
  <si>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</si>
  <si>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</si>
  <si>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</si>
  <si>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</si>
  <si>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</si>
  <si>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</si>
  <si>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</si>
  <si>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</si>
  <si>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</si>
  <si>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</si>
  <si>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</si>
  <si>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</si>
  <si>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</si>
  <si>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</si>
  <si>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</si>
  <si>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</si>
  <si>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</si>
  <si>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</si>
  <si>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</si>
  <si>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</si>
  <si>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</si>
  <si>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</si>
  <si>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</si>
  <si>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</si>
  <si>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</si>
  <si>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</si>
  <si>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</si>
  <si>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</si>
  <si>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</si>
  <si>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</si>
  <si>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</si>
  <si>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</si>
  <si>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</si>
  <si>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</si>
  <si>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</si>
  <si>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</si>
  <si>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</si>
  <si>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</si>
  <si>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</si>
  <si>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</si>
  <si>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</si>
  <si>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</si>
  <si>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</si>
  <si>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</si>
  <si>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</si>
  <si>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</si>
  <si>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</si>
  <si>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</si>
  <si>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</si>
  <si>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</si>
  <si>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</si>
  <si>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</si>
  <si>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</si>
  <si>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</si>
  <si>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</si>
  <si>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</si>
  <si>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</si>
  <si>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</si>
  <si>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</si>
  <si>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</si>
  <si>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</si>
  <si>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</si>
  <si>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</si>
  <si>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</si>
  <si>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</si>
  <si>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</si>
  <si>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</si>
  <si>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</si>
  <si>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</si>
  <si>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</si>
  <si>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</si>
  <si>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</si>
  <si>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</si>
  <si>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</si>
  <si>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</si>
  <si>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</si>
  <si>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</si>
  <si>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</si>
  <si>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</si>
  <si>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</si>
  <si>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</si>
  <si>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</si>
  <si>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</si>
  <si>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</si>
  <si>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</si>
  <si>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</si>
  <si>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</si>
  <si>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</si>
  <si>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</si>
  <si>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</si>
  <si>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</si>
  <si>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</si>
  <si>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</si>
  <si>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</si>
  <si>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</si>
  <si>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</si>
  <si>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</si>
  <si>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</si>
  <si>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</si>
  <si>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</si>
  <si>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</si>
  <si>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</si>
  <si>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</si>
  <si>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</si>
  <si>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</si>
  <si>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</si>
  <si>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</si>
  <si>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</si>
  <si>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</si>
  <si>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</si>
  <si>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</si>
  <si>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</si>
  <si>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</si>
  <si>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</si>
  <si>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</si>
  <si>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</si>
  <si>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</si>
  <si>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</si>
  <si>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</si>
  <si>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</si>
  <si>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</si>
  <si>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</si>
  <si>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</si>
  <si>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</si>
  <si>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</si>
  <si>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</si>
  <si>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</si>
  <si>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</si>
  <si>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</si>
  <si>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</si>
  <si>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</si>
  <si>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</si>
  <si>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</si>
  <si>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</si>
  <si>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</si>
  <si>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</si>
  <si>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</si>
  <si>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</si>
  <si>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</si>
  <si>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</si>
  <si>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</si>
  <si>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</si>
  <si>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</si>
  <si>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</si>
  <si>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</si>
  <si>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</si>
  <si>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</si>
  <si>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</si>
  <si>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</si>
  <si>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</si>
  <si>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</si>
  <si>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</si>
  <si>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</si>
  <si>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</si>
  <si>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</si>
  <si>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</si>
  <si>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</si>
  <si>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</si>
  <si>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</si>
  <si>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</si>
  <si>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</si>
  <si>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</si>
  <si>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</si>
  <si>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</si>
  <si>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</si>
  <si>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</si>
  <si>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</si>
  <si>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</si>
  <si>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</si>
  <si>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</si>
  <si>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</si>
  <si>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</si>
  <si>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</si>
  <si>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</si>
  <si>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</si>
  <si>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</si>
  <si>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</si>
  <si>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</si>
  <si>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</si>
  <si>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</si>
  <si>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</si>
  <si>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</si>
  <si>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</si>
  <si>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</si>
  <si>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</si>
  <si>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</si>
  <si>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</si>
  <si>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</si>
  <si>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</si>
  <si>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</si>
  <si>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</si>
  <si>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</si>
  <si>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</si>
  <si>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</si>
  <si>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</si>
  <si>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</si>
  <si>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</si>
  <si>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</si>
  <si>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</si>
  <si>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</si>
  <si>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</si>
  <si>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</si>
  <si>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</si>
  <si>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</si>
  <si>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</si>
  <si>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</si>
  <si>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</si>
  <si>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</si>
  <si>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</si>
  <si>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</si>
  <si>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</si>
  <si>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</si>
  <si>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</si>
  <si>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</si>
  <si>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</si>
  <si>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</si>
  <si>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</si>
  <si>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</si>
  <si>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</si>
  <si>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</si>
  <si>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</si>
  <si>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</si>
  <si>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</si>
  <si>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</si>
  <si>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</si>
  <si>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</si>
  <si>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</si>
  <si>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</si>
  <si>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</si>
  <si>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</si>
  <si>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</si>
  <si>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</si>
  <si>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</si>
  <si>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</si>
  <si>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</si>
  <si>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</si>
  <si>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</si>
  <si>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</si>
  <si>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</si>
  <si>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</si>
  <si>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</si>
  <si>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</si>
  <si>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</si>
  <si>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</si>
  <si>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</si>
  <si>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</si>
  <si>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</si>
  <si>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</si>
  <si>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</si>
  <si>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</si>
  <si>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</si>
  <si>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</si>
  <si>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</si>
  <si>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</si>
  <si>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</si>
  <si>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</si>
  <si>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</si>
  <si>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</si>
  <si>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</si>
  <si>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</si>
  <si>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</si>
  <si>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</si>
  <si>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</si>
  <si>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</si>
  <si>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</si>
  <si>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</si>
  <si>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</si>
  <si>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</si>
  <si>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</si>
  <si>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</si>
  <si>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</si>
  <si>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</si>
  <si>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</si>
  <si>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</si>
  <si>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</si>
  <si>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</si>
  <si>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</si>
  <si>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</si>
  <si>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</si>
  <si>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</si>
  <si>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</si>
  <si>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</si>
  <si>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</si>
  <si>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</si>
  <si>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</si>
  <si>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</si>
  <si>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</si>
  <si>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</si>
  <si>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</si>
  <si>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</si>
  <si>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</si>
  <si>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</si>
  <si>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</si>
  <si>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</si>
  <si>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</si>
  <si>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</si>
  <si>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</si>
  <si>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</si>
  <si>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</si>
  <si>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</si>
  <si>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</si>
  <si>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</si>
  <si>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</si>
  <si>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</si>
  <si>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</si>
  <si>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</si>
  <si>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</si>
  <si>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</si>
  <si>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</si>
  <si>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</si>
  <si>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</si>
  <si>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</si>
  <si>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</si>
  <si>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</si>
  <si>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</si>
  <si>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</si>
  <si>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</si>
  <si>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</si>
  <si>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</si>
  <si>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</si>
  <si>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</si>
  <si>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</si>
  <si>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</si>
  <si>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</si>
  <si>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</si>
  <si>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</si>
  <si>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</si>
  <si>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</si>
  <si>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</si>
  <si>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</si>
  <si>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</si>
  <si>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</si>
  <si>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</si>
  <si>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</si>
  <si>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</si>
  <si>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</si>
  <si>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</si>
  <si>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</si>
  <si>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</si>
  <si>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</si>
  <si>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</si>
  <si>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</si>
  <si>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</si>
  <si>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</si>
  <si>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</si>
  <si>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</si>
  <si>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</si>
  <si>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</si>
  <si>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</si>
  <si>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</si>
  <si>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</si>
  <si>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</si>
  <si>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</si>
  <si>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</si>
  <si>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</si>
  <si>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</si>
  <si>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</si>
  <si>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</si>
  <si>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</si>
  <si>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</si>
  <si>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</si>
  <si>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</si>
  <si>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</si>
  <si>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</si>
  <si>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</si>
  <si>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</si>
  <si>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</si>
  <si>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</si>
  <si>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</si>
  <si>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</si>
  <si>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</si>
  <si>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</si>
  <si>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</si>
  <si>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</si>
  <si>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</si>
  <si>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</si>
  <si>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</si>
  <si>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</si>
  <si>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</si>
  <si>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</si>
  <si>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</si>
  <si>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</si>
  <si>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</si>
  <si>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</si>
  <si>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</si>
  <si>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</si>
  <si>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</si>
  <si>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</si>
  <si>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</si>
  <si>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</si>
  <si>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</si>
  <si>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</si>
  <si>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</si>
  <si>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</si>
  <si>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</si>
  <si>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</si>
  <si>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</si>
  <si>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</si>
  <si>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</si>
  <si>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</si>
  <si>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</si>
  <si>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</si>
  <si>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</si>
  <si>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</si>
  <si>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</si>
  <si>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</si>
  <si>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</si>
  <si>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</si>
  <si>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</si>
  <si>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</si>
  <si>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</si>
  <si>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</si>
  <si>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</si>
  <si>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</si>
  <si>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</si>
  <si>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</si>
  <si>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</si>
  <si>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</si>
  <si>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</si>
  <si>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</si>
  <si>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</si>
  <si>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</si>
  <si>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</si>
  <si>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</si>
  <si>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</si>
  <si>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</si>
  <si>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</si>
  <si>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</si>
  <si>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</si>
  <si>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</si>
  <si>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</si>
  <si>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</si>
  <si>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</si>
  <si>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</si>
  <si>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</si>
  <si>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</si>
  <si>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</si>
  <si>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</si>
  <si>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</si>
  <si>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</si>
  <si>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</si>
  <si>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</si>
  <si>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</si>
  <si>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</si>
  <si>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</si>
  <si>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</si>
  <si>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</si>
  <si>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</si>
  <si>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</si>
  <si>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</si>
  <si>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</si>
  <si>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</si>
  <si>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</si>
  <si>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</si>
  <si>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</si>
  <si>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</si>
  <si>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</si>
  <si>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</si>
  <si>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</si>
  <si>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</si>
  <si>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</si>
  <si>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</si>
  <si>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</si>
  <si>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</si>
  <si>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</si>
  <si>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</si>
  <si>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</si>
  <si>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</si>
  <si>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</si>
  <si>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</si>
  <si>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</si>
  <si>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</si>
  <si>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</si>
  <si>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</si>
  <si>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</si>
  <si>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</si>
  <si>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</si>
  <si>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</si>
  <si>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</si>
  <si>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</si>
  <si>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</si>
  <si>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</si>
  <si>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</si>
  <si>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</si>
  <si>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</si>
  <si>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</si>
  <si>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</si>
  <si>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</si>
  <si>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</si>
  <si>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</si>
  <si>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</si>
  <si>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</si>
  <si>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</si>
  <si>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</si>
  <si>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</si>
  <si>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</si>
  <si>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</si>
  <si>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</si>
  <si>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</si>
  <si>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</si>
  <si>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</si>
  <si>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</si>
  <si>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</si>
  <si>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</si>
  <si>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</si>
  <si>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</si>
  <si>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</si>
  <si>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</si>
  <si>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</si>
  <si>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</si>
  <si>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</si>
  <si>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</si>
  <si>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</si>
  <si>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</si>
  <si>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</si>
  <si>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</si>
  <si>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</si>
  <si>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</si>
  <si>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</si>
  <si>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</si>
  <si>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</si>
  <si>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</si>
  <si>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</si>
  <si>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</si>
  <si>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</si>
  <si>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</si>
  <si>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</si>
  <si>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</si>
  <si>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</si>
  <si>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</si>
  <si>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</si>
  <si>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</si>
  <si>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</si>
  <si>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</si>
  <si>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</si>
  <si>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</si>
  <si>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</si>
  <si>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</si>
  <si>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</si>
  <si>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</si>
  <si>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</si>
  <si>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</si>
  <si>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</si>
  <si>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</si>
  <si>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</si>
  <si>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</si>
  <si>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</si>
  <si>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</si>
  <si>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</si>
  <si>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</si>
  <si>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</si>
  <si>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</si>
  <si>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</si>
  <si>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</si>
  <si>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</si>
  <si>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</si>
  <si>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</si>
  <si>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</si>
  <si>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</si>
  <si>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</si>
  <si>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</si>
  <si>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</si>
  <si>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</si>
  <si>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</si>
  <si>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</si>
  <si>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</si>
  <si>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</si>
  <si>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</si>
  <si>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</si>
  <si>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</si>
  <si>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</si>
  <si>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</si>
  <si>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</si>
  <si>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</si>
  <si>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</si>
  <si>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</si>
  <si>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</si>
  <si>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</si>
  <si>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</si>
  <si>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</si>
  <si>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</si>
  <si>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</si>
  <si>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</si>
  <si>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</si>
  <si>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</si>
  <si>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</si>
  <si>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</si>
  <si>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</si>
  <si>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</si>
  <si>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</si>
  <si>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</si>
  <si>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</si>
  <si>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</si>
  <si>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</si>
  <si>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</si>
  <si>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</si>
  <si>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</si>
  <si>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</si>
  <si>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</si>
  <si>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</si>
  <si>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</si>
  <si>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</si>
  <si>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</si>
  <si>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</si>
  <si>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</si>
  <si>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</si>
  <si>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</si>
  <si>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</si>
  <si>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</si>
  <si>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</si>
  <si>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</si>
  <si>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</si>
  <si>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</si>
  <si>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</si>
  <si>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</si>
  <si>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</si>
  <si>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</si>
  <si>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</si>
  <si>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</si>
  <si>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</si>
  <si>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</si>
  <si>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</si>
  <si>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</si>
  <si>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</si>
  <si>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</si>
  <si>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</si>
  <si>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</si>
  <si>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</si>
  <si>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</si>
  <si>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</si>
  <si>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</si>
  <si>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</si>
  <si>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</si>
  <si>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</si>
  <si>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</si>
  <si>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</si>
  <si>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</si>
  <si>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</si>
  <si>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</si>
  <si>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</si>
  <si>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</si>
  <si>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</si>
  <si>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</si>
  <si>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</si>
  <si>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</si>
  <si>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</si>
  <si>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</si>
  <si>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</si>
  <si>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</si>
  <si>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</si>
  <si>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</si>
  <si>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</si>
  <si>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</si>
  <si>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</si>
  <si>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</si>
  <si>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</si>
  <si>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</si>
  <si>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</si>
  <si>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</si>
  <si>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</si>
  <si>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</si>
  <si>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</si>
  <si>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</si>
  <si>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</si>
  <si>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</si>
  <si>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</si>
  <si>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</si>
  <si>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</si>
  <si>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</si>
  <si>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</si>
  <si>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</si>
  <si>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</si>
  <si>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</si>
  <si>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</si>
  <si>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</si>
  <si>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</si>
  <si>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</si>
  <si>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</si>
  <si>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</si>
  <si>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</si>
  <si>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</si>
  <si>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</si>
  <si>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</si>
  <si>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</si>
  <si>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</si>
  <si>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</si>
  <si>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</si>
  <si>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</si>
  <si>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</si>
  <si>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</si>
  <si>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</si>
  <si>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</si>
  <si>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</si>
  <si>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</si>
  <si>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</si>
  <si>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</si>
  <si>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</si>
  <si>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</si>
  <si>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</si>
  <si>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</si>
  <si>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</si>
  <si>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</si>
  <si>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</si>
  <si>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</si>
  <si>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</si>
  <si>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</si>
  <si>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</si>
  <si>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</si>
  <si>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</si>
  <si>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</si>
  <si>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</si>
  <si>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</si>
  <si>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</si>
  <si>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</si>
  <si>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</si>
  <si>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</si>
  <si>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</si>
  <si>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</si>
  <si>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</si>
  <si>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</si>
  <si>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</si>
  <si>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</si>
  <si>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</si>
  <si>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</si>
  <si>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</si>
  <si>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</si>
  <si>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</si>
  <si>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</si>
  <si>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</si>
  <si>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</si>
  <si>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</si>
  <si>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</si>
  <si>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</si>
  <si>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</si>
  <si>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</si>
  <si>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</si>
  <si>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</si>
  <si>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</si>
  <si>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</si>
  <si>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</si>
  <si>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</si>
  <si>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</si>
  <si>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</si>
  <si>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</si>
  <si>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</si>
  <si>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</si>
  <si>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</si>
  <si>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</si>
  <si>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</si>
  <si>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</si>
  <si>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</si>
  <si>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</si>
  <si>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</si>
  <si>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</si>
  <si>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</si>
  <si>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</si>
  <si>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</si>
  <si>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</si>
  <si>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</si>
  <si>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</si>
  <si>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</si>
  <si>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</si>
  <si>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</si>
  <si>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</si>
  <si>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</si>
  <si>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</si>
  <si>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</si>
  <si>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</si>
  <si>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</si>
  <si>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</si>
  <si>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</si>
  <si>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</si>
  <si>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</si>
  <si>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</si>
  <si>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</si>
  <si>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</si>
  <si>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</si>
  <si>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</si>
  <si>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</si>
  <si>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</si>
  <si>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</si>
  <si>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</si>
  <si>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</si>
  <si>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</si>
  <si>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</si>
  <si>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</si>
  <si>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</si>
  <si>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</si>
  <si>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</si>
  <si>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</si>
  <si>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</si>
  <si>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</si>
  <si>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</si>
  <si>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</si>
  <si>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</si>
  <si>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</si>
  <si>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</si>
  <si>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</si>
  <si>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</si>
  <si>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</si>
  <si>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</si>
  <si>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</si>
  <si>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</si>
  <si>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</si>
  <si>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</si>
  <si>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</si>
  <si>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</si>
  <si>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</si>
  <si>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</si>
  <si>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</si>
  <si>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</si>
  <si>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</si>
  <si>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</si>
  <si>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</si>
  <si>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</si>
  <si>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</si>
  <si>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</si>
  <si>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</si>
  <si>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</si>
  <si>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</si>
  <si>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</si>
  <si>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</si>
  <si>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</si>
  <si>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</si>
  <si>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</si>
  <si>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</si>
  <si>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</si>
  <si>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</si>
  <si>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</si>
  <si>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</si>
  <si>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</si>
  <si>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</si>
  <si>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</si>
  <si>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</si>
  <si>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</si>
  <si>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</si>
  <si>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</si>
  <si>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</si>
  <si>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</si>
  <si>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</si>
  <si>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</si>
  <si>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</si>
  <si>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</si>
  <si>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</si>
  <si>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</si>
  <si>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</si>
  <si>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</si>
  <si>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</si>
  <si>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</si>
  <si>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</si>
  <si>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</si>
  <si>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</si>
  <si>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</si>
  <si>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</si>
  <si>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</si>
  <si>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</si>
  <si>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</si>
  <si>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</si>
  <si>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</si>
  <si>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</si>
  <si>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</si>
  <si>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</si>
  <si>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</si>
  <si>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</si>
  <si>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</si>
  <si>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</si>
  <si>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</si>
  <si>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</si>
  <si>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</si>
  <si>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</si>
  <si>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</si>
  <si>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</si>
  <si>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</si>
  <si>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</si>
  <si>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</si>
  <si>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</si>
  <si>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</si>
  <si>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</si>
  <si>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</si>
  <si>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</si>
  <si>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</si>
  <si>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</si>
  <si>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</si>
  <si>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</si>
  <si>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</si>
  <si>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</si>
  <si>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</si>
  <si>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</si>
  <si>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</si>
  <si>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</si>
  <si>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</si>
  <si>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</si>
  <si>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</si>
  <si>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</si>
  <si>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</si>
  <si>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</si>
  <si>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</si>
  <si>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</si>
  <si>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</si>
  <si>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</si>
  <si>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</si>
  <si>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</si>
  <si>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</si>
  <si>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</si>
  <si>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</si>
  <si>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</si>
  <si>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</si>
  <si>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</si>
  <si>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</si>
  <si>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</si>
  <si>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</si>
  <si>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</si>
  <si>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</si>
  <si>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</si>
  <si>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</si>
  <si>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</si>
  <si>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</si>
  <si>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</si>
  <si>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</si>
  <si>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</si>
  <si>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</si>
  <si>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</si>
  <si>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</si>
  <si>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</si>
  <si>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</si>
  <si>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</si>
  <si>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</si>
  <si>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</si>
  <si>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</si>
  <si>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</si>
  <si>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</si>
  <si>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</si>
  <si>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</si>
  <si>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</si>
  <si>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</si>
  <si>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</si>
  <si>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</si>
  <si>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</si>
  <si>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</si>
  <si>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</si>
  <si>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</si>
  <si>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</si>
  <si>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</si>
  <si>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</si>
  <si>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</si>
  <si>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</si>
  <si>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</si>
  <si>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</si>
  <si>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</si>
  <si>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</si>
  <si>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</si>
  <si>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</si>
  <si>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</si>
  <si>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</si>
  <si>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</si>
  <si>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</si>
  <si>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</si>
  <si>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</si>
  <si>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</si>
  <si>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</si>
  <si>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</si>
  <si>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</si>
  <si>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</si>
  <si>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</si>
  <si>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</si>
  <si>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</si>
  <si>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</si>
  <si>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</si>
  <si>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</si>
  <si>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</si>
  <si>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</si>
  <si>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</si>
  <si>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</si>
  <si>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</si>
  <si>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</si>
  <si>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</si>
  <si>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</si>
  <si>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</si>
  <si>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</si>
  <si>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</si>
  <si>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</si>
  <si>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</si>
  <si>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</si>
  <si>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</si>
  <si>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</si>
  <si>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</si>
  <si>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</si>
  <si>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</si>
  <si>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</si>
  <si>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</si>
  <si>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</si>
  <si>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</si>
  <si>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</si>
  <si>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</si>
  <si>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</si>
  <si>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</si>
  <si>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</si>
  <si>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</si>
  <si>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</si>
  <si>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</si>
  <si>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</si>
  <si>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</si>
  <si>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</si>
  <si>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</si>
  <si>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</si>
  <si>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</si>
  <si>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</si>
  <si>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</si>
  <si>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</si>
  <si>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</si>
  <si>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</si>
  <si>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</si>
  <si>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</si>
  <si>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</si>
  <si>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</si>
  <si>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</si>
  <si>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</si>
  <si>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</si>
  <si>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</si>
  <si>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</si>
  <si>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</si>
  <si>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</si>
  <si>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</si>
  <si>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</si>
  <si>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</si>
  <si>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</si>
  <si>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</si>
  <si>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</si>
  <si>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</si>
  <si>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</si>
  <si>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</si>
  <si>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</si>
  <si>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</si>
  <si>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</si>
  <si>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</si>
  <si>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</si>
  <si>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</si>
  <si>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</si>
  <si>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</si>
  <si>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</si>
  <si>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</si>
  <si>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</si>
  <si>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</si>
  <si>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</si>
  <si>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</si>
  <si>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</si>
  <si>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</si>
  <si>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</si>
  <si>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</si>
  <si>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</si>
  <si>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</si>
  <si>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</si>
  <si>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</si>
  <si>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</si>
  <si>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</si>
  <si>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</si>
  <si>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</si>
  <si>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</si>
  <si>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</si>
  <si>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</si>
  <si>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</si>
  <si>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</si>
  <si>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</si>
  <si>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</si>
  <si>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</si>
  <si>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</si>
  <si>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</si>
  <si>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</si>
  <si>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</si>
  <si>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</si>
  <si>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</si>
  <si>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</si>
  <si>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</si>
  <si>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</si>
  <si>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</si>
  <si>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</si>
  <si>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</si>
  <si>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</si>
  <si>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</si>
  <si>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</si>
  <si>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</si>
  <si>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</si>
  <si>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</si>
  <si>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</si>
  <si>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</si>
  <si>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</si>
  <si>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</si>
  <si>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</si>
  <si>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</si>
  <si>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</si>
  <si>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</si>
  <si>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</si>
  <si>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</si>
  <si>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</si>
  <si>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</si>
  <si>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</si>
  <si>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</si>
  <si>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</si>
  <si>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</si>
  <si>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</si>
  <si>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</si>
  <si>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</si>
  <si>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</si>
  <si>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</si>
  <si>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</si>
  <si>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</si>
  <si>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</si>
  <si>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</si>
  <si>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</si>
  <si>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</si>
  <si>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</si>
  <si>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</si>
  <si>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</si>
  <si>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</si>
  <si>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</si>
  <si>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</si>
  <si>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</si>
  <si>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</si>
  <si>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</si>
  <si>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</si>
  <si>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</si>
  <si>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</si>
  <si>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</si>
  <si>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</si>
  <si>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</si>
  <si>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</si>
  <si>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</si>
  <si>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</si>
  <si>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</si>
  <si>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</si>
  <si>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</si>
  <si>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</si>
  <si>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</si>
  <si>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</si>
  <si>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</si>
  <si>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</si>
  <si>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</si>
  <si>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</si>
  <si>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</si>
  <si>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</si>
  <si>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</si>
  <si>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</si>
  <si>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</si>
  <si>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</si>
  <si>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</si>
  <si>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</si>
  <si>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</si>
  <si>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</si>
  <si>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</si>
  <si>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</si>
  <si>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</si>
  <si>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</si>
  <si>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</si>
  <si>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</si>
  <si>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</si>
  <si>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</si>
  <si>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</si>
  <si>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</si>
  <si>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</si>
  <si>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</si>
  <si>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</si>
  <si>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</si>
  <si>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</si>
  <si>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</si>
  <si>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</si>
  <si>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</si>
  <si>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</si>
  <si>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</si>
  <si>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</si>
  <si>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</si>
  <si>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</si>
  <si>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</si>
  <si>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</si>
  <si>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</si>
  <si>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</si>
  <si>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</si>
  <si>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</si>
  <si>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</si>
  <si>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</si>
  <si>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</si>
  <si>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</si>
  <si>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</si>
  <si>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</si>
  <si>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</si>
  <si>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</si>
  <si>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</si>
  <si>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</si>
  <si>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</si>
  <si>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</si>
  <si>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</si>
  <si>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</si>
  <si>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</si>
  <si>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</si>
  <si>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</si>
  <si>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</si>
  <si>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</si>
  <si>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</si>
  <si>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</si>
  <si>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</si>
  <si>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</si>
  <si>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</si>
  <si>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</si>
  <si>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</si>
  <si>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</si>
  <si>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</si>
  <si>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</si>
  <si>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</si>
  <si>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</si>
  <si>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</si>
  <si>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</si>
  <si>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</si>
  <si>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</si>
  <si>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</si>
  <si>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</si>
  <si>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</si>
  <si>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</si>
  <si>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</si>
  <si>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</si>
  <si>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</si>
  <si>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</si>
  <si>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</si>
  <si>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</si>
  <si>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</si>
  <si>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</si>
  <si>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</si>
  <si>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</si>
  <si>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</si>
  <si>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</si>
  <si>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</si>
  <si>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</si>
  <si>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</si>
  <si>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</si>
  <si>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</si>
  <si>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</si>
  <si>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</si>
  <si>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</si>
  <si>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</si>
  <si>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</si>
  <si>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</si>
  <si>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</si>
  <si>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</si>
  <si>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</si>
  <si>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</si>
  <si>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</si>
  <si>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</si>
  <si>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</si>
  <si>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</si>
  <si>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</si>
  <si>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</si>
  <si>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</si>
  <si>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</si>
  <si>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</si>
  <si>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</si>
  <si>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</si>
  <si>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</si>
  <si>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</si>
  <si>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</si>
  <si>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</si>
  <si>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</si>
  <si>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</si>
  <si>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</si>
  <si>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</si>
  <si>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</si>
  <si>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</si>
  <si>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</si>
  <si>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</si>
  <si>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</si>
  <si>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</si>
  <si>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</si>
  <si>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</si>
  <si>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</si>
  <si>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</si>
  <si>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</si>
  <si>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</si>
  <si>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</si>
  <si>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</si>
  <si>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</si>
  <si>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</si>
  <si>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</si>
  <si>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</si>
  <si>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</si>
  <si>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</si>
  <si>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</si>
  <si>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</si>
  <si>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</si>
  <si>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</si>
  <si>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</si>
  <si>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</si>
  <si>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</si>
  <si>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</si>
  <si>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</si>
  <si>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</si>
  <si>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</si>
  <si>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</si>
  <si>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</si>
  <si>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</si>
  <si>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</si>
  <si>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</si>
  <si>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</si>
  <si>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</si>
  <si>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</si>
  <si>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</si>
  <si>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</si>
  <si>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</si>
  <si>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</si>
  <si>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</si>
  <si>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</si>
  <si>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</si>
  <si>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</si>
  <si>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</si>
  <si>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</si>
  <si>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</si>
  <si>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</si>
  <si>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</si>
  <si>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</si>
  <si>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</si>
  <si>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</si>
  <si>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</si>
  <si>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</si>
  <si>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</si>
  <si>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</si>
  <si>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</si>
  <si>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</si>
  <si>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</si>
  <si>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</si>
  <si>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</si>
  <si>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</si>
  <si>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</si>
  <si>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</si>
  <si>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</si>
  <si>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</si>
  <si>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</si>
  <si>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</si>
  <si>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</si>
  <si>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</si>
  <si>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</si>
  <si>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</si>
  <si>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</si>
  <si>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</si>
  <si>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</si>
  <si>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</si>
  <si>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</si>
  <si>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</si>
  <si>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</si>
  <si>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</si>
  <si>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</si>
  <si>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</si>
  <si>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</si>
  <si>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</si>
  <si>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</si>
  <si>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</si>
  <si>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</si>
  <si>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</si>
  <si>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</si>
  <si>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</si>
  <si>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</si>
  <si>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</si>
  <si>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</si>
  <si>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</si>
  <si>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</si>
  <si>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</si>
  <si>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</si>
  <si>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</si>
  <si>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</si>
  <si>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</si>
  <si>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</si>
  <si>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</si>
  <si>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</si>
  <si>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</si>
  <si>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</si>
  <si>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</si>
  <si>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</si>
  <si>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</si>
  <si>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</si>
  <si>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</si>
  <si>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</si>
  <si>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</si>
  <si>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</si>
  <si>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</si>
  <si>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</si>
  <si>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</si>
  <si>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</si>
  <si>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</si>
  <si>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</si>
  <si>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</si>
  <si>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</si>
  <si>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</si>
  <si>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</si>
  <si>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</si>
  <si>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</si>
  <si>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</si>
  <si>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</si>
  <si>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</si>
  <si>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</si>
  <si>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</si>
  <si>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</si>
  <si>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</si>
  <si>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</si>
  <si>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</si>
  <si>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</si>
  <si>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</si>
  <si>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</si>
  <si>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</si>
  <si>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</si>
  <si>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</si>
  <si>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</si>
  <si>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</si>
  <si>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</si>
  <si>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</si>
  <si>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</si>
  <si>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</si>
  <si>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</si>
  <si>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</si>
  <si>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</si>
  <si>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</si>
  <si>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</si>
  <si>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</si>
  <si>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</si>
  <si>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</si>
  <si>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</si>
  <si>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</si>
  <si>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</si>
  <si>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</si>
  <si>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</si>
  <si>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</si>
  <si>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</si>
  <si>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</si>
  <si>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</si>
  <si>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</si>
  <si>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</si>
  <si>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</si>
  <si>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</si>
  <si>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</si>
  <si>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</si>
  <si>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</si>
  <si>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</si>
  <si>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</si>
  <si>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</si>
  <si>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</si>
  <si>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</si>
  <si>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</si>
  <si>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</si>
  <si>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</si>
  <si>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</si>
  <si>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</si>
  <si>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</si>
  <si>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</si>
  <si>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</si>
  <si>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</si>
  <si>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</si>
  <si>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</si>
  <si>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</si>
  <si>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</si>
  <si>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</si>
  <si>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</si>
  <si>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</si>
  <si>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</si>
  <si>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</si>
  <si>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</si>
  <si>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</si>
  <si>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</si>
  <si>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</si>
  <si>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</si>
  <si>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</si>
  <si>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</si>
  <si>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</si>
  <si>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</si>
  <si>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</si>
  <si>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</si>
  <si>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</si>
  <si>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</si>
  <si>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</si>
  <si>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</si>
  <si>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</si>
  <si>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</si>
  <si>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</si>
  <si>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</si>
  <si>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</si>
  <si>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</si>
  <si>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</si>
  <si>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</si>
  <si>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</si>
  <si>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</si>
  <si>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</si>
  <si>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</si>
  <si>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</si>
  <si>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</si>
  <si>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</si>
  <si>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</si>
  <si>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</si>
  <si>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</si>
  <si>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</si>
  <si>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</si>
  <si>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</si>
  <si>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</si>
  <si>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</si>
  <si>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</si>
  <si>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</si>
  <si>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</si>
  <si>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</si>
  <si>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</si>
  <si>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</si>
  <si>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</si>
  <si>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</si>
  <si>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</si>
  <si>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</si>
  <si>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</si>
  <si>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</si>
  <si>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</si>
  <si>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</si>
  <si>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</si>
  <si>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</si>
  <si>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</si>
  <si>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</si>
  <si>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</si>
  <si>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</si>
  <si>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</si>
  <si>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</si>
  <si>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</si>
  <si>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</si>
  <si>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</si>
  <si>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</si>
  <si>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</si>
  <si>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</si>
  <si>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</si>
  <si>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</si>
  <si>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</si>
  <si>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</si>
  <si>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</si>
  <si>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</si>
  <si>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</si>
  <si>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</si>
  <si>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</si>
  <si>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</si>
  <si>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</si>
  <si>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</si>
  <si>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</si>
  <si>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</si>
  <si>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</si>
  <si>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</si>
  <si>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</si>
  <si>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</si>
  <si>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</si>
  <si>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</si>
  <si>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</si>
  <si>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</si>
  <si>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</si>
  <si>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</si>
  <si>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</si>
  <si>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</si>
  <si>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</si>
  <si>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</si>
  <si>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</si>
  <si>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</si>
  <si>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</si>
  <si>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</si>
  <si>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</si>
  <si>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</si>
  <si>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</si>
  <si>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</si>
  <si>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</si>
  <si>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</si>
  <si>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</si>
  <si>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</si>
  <si>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</si>
  <si>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</si>
  <si>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</si>
  <si>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</si>
  <si>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</si>
  <si>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</si>
  <si>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</si>
  <si>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</si>
  <si>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</si>
  <si>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</si>
  <si>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</si>
  <si>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</si>
  <si>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</si>
  <si>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</si>
  <si>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</si>
  <si>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</si>
  <si>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</si>
  <si>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</si>
  <si>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</si>
  <si>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</si>
  <si>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</si>
  <si>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</si>
  <si>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</si>
  <si>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</si>
  <si>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</si>
  <si>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</si>
  <si>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</si>
  <si>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</si>
  <si>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</si>
  <si>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</si>
  <si>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</si>
  <si>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</si>
  <si>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</si>
  <si>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</si>
  <si>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</si>
  <si>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</si>
  <si>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</si>
  <si>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</si>
  <si>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</si>
  <si>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</si>
  <si>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</si>
  <si>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</si>
  <si>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</si>
  <si>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</si>
  <si>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</si>
  <si>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</si>
  <si>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</si>
  <si>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</si>
  <si>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</si>
  <si>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</si>
  <si>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</si>
  <si>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</si>
  <si>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</si>
  <si>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</si>
  <si>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</si>
  <si>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</si>
  <si>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</si>
  <si>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</si>
  <si>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</si>
  <si>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</si>
  <si>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</si>
  <si>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</si>
  <si>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</si>
  <si>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</si>
  <si>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</si>
  <si>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</si>
  <si>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</si>
  <si>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</si>
  <si>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</si>
  <si>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</si>
  <si>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</si>
  <si>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</si>
  <si>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</si>
  <si>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</si>
  <si>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</si>
  <si>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</si>
  <si>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</si>
  <si>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</si>
  <si>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</si>
  <si>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</si>
  <si>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</si>
  <si>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</si>
  <si>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</si>
  <si>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</si>
  <si>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</si>
  <si>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</si>
  <si>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</si>
  <si>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</si>
  <si>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</si>
  <si>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</si>
  <si>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</si>
  <si>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</si>
  <si>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</si>
  <si>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</si>
  <si>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</si>
  <si>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</si>
  <si>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</si>
  <si>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</si>
  <si>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</si>
  <si>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</si>
  <si>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</si>
  <si>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</si>
  <si>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</si>
  <si>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</si>
  <si>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</si>
  <si>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</si>
  <si>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</si>
  <si>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</si>
  <si>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</si>
  <si>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</si>
  <si>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</si>
  <si>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</si>
  <si>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</si>
  <si>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</si>
  <si>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</si>
  <si>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</si>
  <si>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</si>
  <si>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</si>
  <si>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</si>
  <si>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</si>
  <si>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</si>
  <si>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</si>
  <si>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</si>
  <si>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</si>
  <si>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</si>
  <si>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</si>
  <si>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</si>
  <si>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</si>
  <si>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</si>
  <si>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</si>
  <si>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</si>
  <si>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</si>
  <si>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</si>
  <si>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</si>
  <si>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</si>
  <si>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</si>
  <si>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</si>
  <si>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</si>
  <si>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</si>
  <si>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</si>
  <si>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</si>
  <si>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</si>
  <si>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</si>
  <si>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</si>
  <si>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</si>
  <si>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</si>
  <si>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</si>
  <si>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</si>
  <si>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</si>
  <si>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</si>
  <si>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</si>
  <si>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</si>
  <si>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</si>
  <si>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</si>
  <si>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</si>
  <si>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</si>
  <si>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</si>
  <si>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</si>
  <si>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</si>
  <si>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</si>
  <si>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</si>
  <si>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</si>
  <si>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</si>
  <si>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</si>
  <si>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</si>
  <si>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</si>
  <si>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</si>
  <si>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</si>
  <si>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</si>
  <si>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</si>
  <si>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</si>
  <si>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</si>
  <si>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</si>
  <si>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</si>
  <si>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</si>
  <si>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</si>
  <si>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</si>
  <si>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</si>
  <si>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</si>
  <si>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</si>
  <si>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</si>
  <si>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</si>
  <si>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</si>
  <si>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</si>
  <si>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</si>
  <si>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</si>
  <si>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</si>
  <si>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</si>
  <si>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</si>
  <si>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</si>
  <si>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</si>
  <si>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</si>
  <si>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</si>
  <si>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</si>
  <si>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</si>
  <si>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</si>
  <si>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</si>
  <si>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</si>
  <si>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</si>
  <si>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</si>
  <si>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</si>
  <si>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</si>
  <si>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</si>
  <si>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</si>
  <si>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</si>
  <si>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</si>
  <si>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</si>
  <si>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</si>
  <si>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</si>
  <si>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</si>
  <si>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</si>
  <si>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</si>
  <si>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</si>
  <si>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</si>
  <si>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</si>
  <si>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</si>
  <si>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</si>
  <si>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</si>
  <si>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</si>
  <si>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</si>
  <si>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</si>
  <si>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</si>
  <si>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</si>
  <si>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</si>
  <si>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</si>
  <si>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</si>
  <si>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</si>
  <si>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</si>
  <si>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</si>
  <si>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</si>
  <si>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</si>
  <si>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</si>
  <si>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</si>
  <si>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</si>
  <si>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</si>
  <si>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</si>
  <si>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</si>
  <si>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</si>
  <si>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</si>
  <si>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</si>
  <si>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</si>
  <si>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</si>
  <si>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</si>
  <si>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</si>
  <si>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</si>
  <si>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</si>
  <si>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</si>
  <si>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</si>
  <si>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</si>
  <si>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</si>
  <si>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</si>
  <si>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</si>
  <si>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</si>
  <si>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</si>
  <si>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</si>
  <si>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</si>
  <si>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</si>
  <si>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</si>
  <si>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</si>
  <si>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</si>
  <si>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</si>
  <si>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</si>
  <si>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</si>
  <si>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</si>
  <si>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</si>
  <si>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</si>
  <si>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</si>
  <si>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</si>
  <si>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</si>
  <si>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</si>
  <si>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</si>
  <si>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</si>
  <si>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</si>
  <si>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</si>
  <si>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</si>
  <si>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</si>
  <si>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</si>
  <si>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</si>
  <si>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</si>
  <si>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</si>
  <si>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</si>
  <si>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</si>
  <si>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</si>
  <si>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</si>
  <si>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</si>
  <si>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</si>
  <si>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</si>
  <si>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</si>
  <si>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</si>
  <si>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</si>
  <si>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</si>
  <si>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</si>
  <si>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</si>
  <si>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</si>
  <si>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</si>
  <si>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</si>
  <si>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</si>
  <si>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</si>
  <si>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</si>
  <si>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</si>
  <si>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</si>
  <si>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</si>
  <si>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</si>
  <si>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</si>
  <si>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</si>
  <si>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</si>
  <si>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</si>
  <si>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</si>
  <si>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</si>
  <si>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</si>
  <si>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</si>
  <si>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</si>
  <si>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</si>
  <si>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</si>
  <si>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</si>
  <si>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</si>
  <si>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</si>
  <si>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</si>
  <si>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</si>
  <si>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</si>
  <si>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</si>
  <si>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</si>
  <si>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</si>
  <si>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</si>
  <si>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</si>
  <si>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</si>
  <si>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</si>
  <si>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</si>
  <si>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</si>
  <si>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</si>
  <si>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</si>
  <si>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</si>
  <si>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</si>
  <si>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</si>
  <si>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</si>
  <si>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</si>
  <si>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</si>
  <si>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</si>
  <si>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</si>
  <si>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</si>
  <si>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</si>
  <si>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</si>
  <si>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</si>
  <si>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</si>
  <si>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</si>
  <si>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</si>
  <si>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</si>
  <si>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</si>
  <si>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</si>
  <si>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</si>
  <si>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</si>
  <si>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</si>
  <si>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</si>
  <si>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</si>
  <si>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</si>
  <si>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</si>
  <si>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</si>
  <si>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</si>
  <si>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</si>
  <si>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</si>
  <si>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</si>
  <si>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</si>
  <si>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</si>
  <si>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</si>
  <si>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</si>
  <si>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</si>
  <si>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</si>
  <si>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</si>
  <si>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</si>
  <si>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</si>
  <si>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</si>
  <si>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</si>
  <si>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</si>
  <si>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</si>
  <si>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</si>
  <si>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</si>
  <si>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</si>
  <si>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</si>
  <si>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</si>
  <si>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</si>
  <si>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</si>
  <si>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</si>
  <si>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</si>
  <si>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</si>
  <si>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</si>
  <si>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</si>
  <si>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</si>
  <si>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</si>
  <si>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</si>
  <si>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</si>
  <si>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</si>
  <si>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</si>
  <si>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</si>
  <si>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</si>
  <si>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</si>
  <si>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</si>
  <si>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</si>
  <si>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</si>
  <si>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</si>
  <si>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</si>
  <si>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</si>
  <si>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</si>
  <si>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</si>
  <si>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</si>
  <si>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</si>
  <si>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</si>
  <si>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</si>
  <si>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</si>
  <si>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</si>
  <si>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</si>
  <si>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</si>
  <si>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</si>
  <si>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</si>
  <si>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</si>
  <si>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</si>
  <si>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</si>
  <si>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</si>
  <si>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</si>
  <si>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</si>
  <si>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</si>
  <si>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</si>
  <si>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</si>
  <si>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</si>
  <si>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</si>
  <si>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</si>
  <si>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</si>
  <si>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</si>
  <si>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</si>
  <si>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</si>
  <si>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</si>
  <si>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</si>
  <si>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</si>
  <si>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</si>
  <si>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</si>
  <si>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</si>
  <si>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</si>
  <si>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</si>
  <si>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</si>
  <si>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</si>
  <si>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</si>
  <si>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</si>
  <si>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</si>
  <si>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</si>
  <si>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</si>
  <si>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</si>
  <si>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</si>
  <si>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</si>
  <si>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</si>
  <si>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</si>
  <si>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</si>
  <si>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</si>
  <si>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</si>
  <si>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</si>
  <si>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</si>
  <si>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</si>
  <si>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</si>
  <si>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</si>
  <si>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</si>
  <si>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</si>
  <si>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</si>
  <si>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</si>
  <si>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</si>
  <si>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</si>
  <si>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</si>
  <si>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</si>
  <si>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</si>
  <si>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</si>
  <si>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</si>
  <si>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</si>
  <si>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</si>
  <si>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</si>
  <si>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</si>
  <si>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</si>
  <si>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</si>
  <si>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</si>
  <si>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</si>
  <si>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</si>
  <si>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</si>
  <si>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</si>
  <si>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</si>
  <si>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</si>
  <si>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</si>
  <si>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</si>
  <si>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</si>
  <si>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</si>
  <si>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</si>
  <si>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</si>
  <si>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</si>
  <si>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</si>
  <si>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</si>
  <si>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</si>
  <si>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</si>
  <si>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</si>
  <si>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</si>
  <si>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</si>
  <si>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</si>
  <si>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</si>
  <si>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</si>
  <si>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</si>
  <si>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</si>
  <si>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</si>
  <si>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</si>
  <si>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</si>
  <si>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</si>
  <si>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</si>
  <si>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</si>
  <si>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</si>
  <si>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</si>
  <si>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</si>
  <si>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</si>
  <si>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</si>
  <si>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</si>
  <si>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</si>
  <si>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</si>
  <si>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</si>
  <si>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</si>
  <si>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</si>
  <si>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</si>
  <si>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</si>
  <si>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</si>
  <si>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</si>
  <si>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</si>
  <si>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</si>
  <si>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</si>
  <si>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</si>
  <si>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</si>
  <si>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</si>
  <si>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</si>
  <si>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</si>
  <si>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</si>
  <si>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</si>
  <si>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</si>
  <si>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</si>
  <si>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</si>
  <si>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</si>
  <si>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</si>
  <si>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</si>
  <si>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</si>
  <si>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</si>
  <si>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</si>
  <si>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</si>
  <si>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</si>
  <si>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</si>
  <si>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</si>
  <si>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</si>
  <si>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</si>
  <si>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</si>
  <si>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</si>
  <si>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</si>
  <si>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</si>
  <si>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</si>
  <si>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</si>
  <si>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</si>
  <si>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</si>
  <si>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</si>
  <si>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</si>
  <si>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</si>
  <si>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</si>
  <si>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</si>
  <si>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</si>
  <si>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</si>
  <si>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</si>
  <si>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</si>
  <si>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</si>
  <si>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</si>
  <si>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</si>
  <si>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</si>
  <si>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</si>
  <si>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</si>
  <si>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</si>
  <si>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</si>
  <si>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</si>
  <si>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</si>
  <si>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</si>
  <si>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</si>
  <si>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</si>
  <si>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</si>
  <si>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</si>
  <si>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</si>
  <si>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</si>
  <si>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</si>
  <si>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</si>
  <si>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</si>
  <si>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</si>
  <si>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</si>
  <si>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</si>
  <si>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</si>
  <si>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</si>
  <si>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</si>
  <si>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</si>
  <si>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</si>
  <si>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</si>
  <si>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</si>
  <si>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</si>
  <si>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</si>
  <si>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</si>
  <si>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</si>
  <si>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</si>
  <si>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</si>
  <si>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</si>
  <si>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</si>
  <si>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</si>
  <si>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</si>
  <si>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</si>
  <si>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</si>
  <si>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</si>
  <si>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</si>
  <si>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</si>
  <si>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</si>
  <si>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</si>
  <si>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</si>
  <si>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</si>
  <si>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</si>
  <si>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</si>
  <si>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</si>
  <si>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</si>
  <si>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</si>
  <si>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</si>
  <si>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</si>
  <si>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</si>
  <si>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</si>
  <si>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</si>
  <si>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</si>
  <si>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</si>
  <si>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</si>
  <si>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</si>
  <si>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</si>
  <si>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</si>
  <si>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</si>
  <si>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</si>
  <si>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</si>
  <si>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</si>
  <si>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</si>
  <si>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</si>
  <si>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</si>
  <si>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</si>
  <si>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</si>
  <si>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</si>
  <si>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</si>
  <si>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</si>
  <si>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</si>
  <si>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</si>
  <si>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</si>
  <si>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</si>
  <si>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</si>
  <si>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</si>
  <si>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</si>
  <si>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</si>
  <si>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</si>
  <si>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</si>
  <si>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</si>
  <si>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</si>
  <si>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</si>
  <si>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</si>
  <si>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</si>
  <si>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</si>
  <si>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</si>
  <si>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</si>
  <si>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</si>
  <si>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</si>
  <si>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</si>
  <si>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</si>
  <si>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</si>
  <si>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</si>
  <si>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</si>
  <si>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</si>
  <si>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</si>
  <si>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</si>
  <si>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</si>
  <si>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</si>
  <si>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</si>
  <si>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</si>
  <si>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</si>
  <si>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</si>
  <si>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</si>
  <si>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</si>
  <si>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</si>
  <si>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</si>
  <si>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</si>
  <si>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</si>
  <si>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</si>
  <si>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</si>
  <si>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</si>
  <si>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</si>
  <si>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</si>
  <si>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</si>
  <si>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</si>
  <si>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</si>
  <si>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</si>
  <si>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</si>
  <si>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</si>
  <si>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</si>
  <si>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</si>
  <si>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</si>
  <si>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</si>
  <si>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</si>
  <si>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</si>
  <si>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</si>
  <si>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</si>
  <si>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</si>
  <si>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</si>
  <si>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</si>
  <si>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</si>
  <si>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</si>
  <si>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</si>
  <si>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</si>
  <si>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</si>
  <si>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</si>
  <si>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</si>
  <si>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</si>
  <si>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</si>
  <si>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</si>
  <si>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</si>
  <si>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</si>
  <si>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</si>
  <si>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</si>
  <si>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</si>
  <si>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</si>
  <si>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</si>
  <si>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</si>
  <si>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</si>
  <si>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</si>
  <si>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</si>
  <si>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</si>
  <si>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</si>
  <si>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</si>
  <si>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</si>
  <si>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</si>
  <si>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</si>
  <si>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</si>
  <si>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</si>
  <si>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</si>
  <si>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</si>
  <si>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</si>
  <si>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</si>
  <si>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</si>
  <si>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</si>
  <si>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</si>
  <si>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</si>
  <si>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</si>
  <si>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</si>
  <si>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</si>
  <si>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</si>
  <si>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</si>
  <si>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</si>
  <si>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</si>
  <si>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</si>
  <si>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</si>
  <si>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</si>
  <si>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</si>
  <si>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</si>
  <si>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</si>
  <si>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</si>
  <si>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</si>
  <si>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</si>
  <si>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</si>
  <si>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</si>
  <si>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</si>
  <si>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</si>
  <si>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</si>
  <si>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</si>
  <si>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</si>
  <si>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</si>
  <si>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</si>
  <si>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</si>
  <si>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</si>
  <si>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</si>
  <si>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</si>
  <si>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</si>
  <si>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</si>
  <si>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</si>
  <si>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</si>
  <si>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</si>
  <si>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</si>
  <si>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</si>
  <si>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</si>
  <si>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</si>
  <si>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</si>
  <si>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</si>
  <si>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</si>
  <si>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</si>
  <si>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</si>
  <si>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</si>
  <si>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</si>
  <si>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</si>
  <si>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</si>
  <si>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</si>
  <si>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</si>
  <si>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</si>
  <si>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</si>
  <si>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</si>
  <si>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</si>
  <si>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</si>
  <si>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</si>
  <si>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</si>
  <si>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</si>
  <si>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</si>
  <si>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</si>
  <si>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</si>
  <si>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</si>
  <si>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</si>
  <si>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</si>
  <si>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</si>
  <si>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</si>
  <si>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</si>
  <si>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</si>
  <si>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</si>
  <si>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</si>
  <si>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</si>
  <si>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</si>
  <si>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</si>
  <si>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</si>
  <si>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</si>
  <si>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</si>
  <si>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</si>
  <si>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</si>
  <si>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</si>
  <si>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</si>
  <si>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</si>
  <si>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</si>
  <si>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</si>
  <si>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</si>
  <si>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</si>
  <si>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</si>
  <si>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</si>
  <si>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</si>
  <si>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</si>
  <si>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</si>
  <si>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</si>
  <si>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</si>
  <si>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</si>
  <si>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</si>
  <si>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</si>
  <si>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</si>
  <si>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</si>
  <si>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</si>
  <si>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</si>
  <si>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</si>
  <si>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</si>
  <si>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</si>
  <si>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</si>
  <si>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</si>
  <si>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</si>
  <si>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</si>
  <si>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</si>
  <si>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</si>
  <si>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</si>
  <si>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</si>
  <si>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</si>
  <si>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</si>
  <si>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</si>
  <si>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</si>
  <si>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</si>
  <si>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</si>
  <si>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</si>
  <si>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</si>
  <si>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</si>
  <si>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</si>
  <si>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</si>
  <si>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</si>
  <si>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</si>
  <si>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</si>
  <si>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</si>
  <si>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</si>
  <si>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</si>
  <si>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</si>
  <si>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</si>
  <si>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</si>
  <si>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</si>
  <si>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</si>
  <si>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</si>
  <si>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</si>
  <si>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</si>
  <si>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</si>
  <si>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</si>
  <si>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</si>
  <si>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</si>
  <si>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</si>
  <si>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</si>
  <si>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</si>
  <si>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</si>
  <si>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</si>
  <si>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</si>
  <si>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</si>
  <si>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</si>
  <si>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</si>
  <si>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</si>
  <si>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</si>
  <si>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</si>
  <si>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</si>
  <si>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</si>
  <si>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</si>
  <si>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</si>
  <si>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</si>
  <si>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</si>
  <si>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</si>
  <si>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</si>
  <si>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</si>
  <si>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</si>
  <si>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</si>
  <si>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</si>
  <si>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</si>
  <si>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</si>
  <si>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</si>
  <si>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</si>
  <si>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</si>
  <si>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</si>
  <si>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</si>
  <si>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</si>
  <si>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</si>
  <si>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</si>
  <si>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</si>
  <si>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</si>
  <si>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</si>
  <si>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</si>
  <si>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</si>
  <si>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</si>
  <si>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</si>
  <si>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</si>
  <si>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</si>
  <si>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</si>
  <si>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</si>
  <si>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</si>
  <si>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</si>
  <si>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</si>
  <si>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</si>
  <si>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</si>
  <si>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</si>
  <si>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</si>
  <si>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</si>
  <si>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</si>
  <si>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</si>
  <si>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</si>
  <si>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</si>
  <si>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</si>
  <si>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</si>
  <si>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</si>
  <si>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</si>
  <si>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</si>
  <si>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</si>
  <si>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</si>
  <si>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</si>
  <si>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</si>
  <si>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</si>
  <si>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</si>
  <si>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</si>
  <si>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</si>
  <si>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</si>
  <si>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</si>
  <si>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</si>
  <si>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</si>
  <si>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</si>
  <si>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</si>
  <si>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</si>
  <si>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</si>
  <si>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</si>
  <si>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</si>
  <si>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</si>
  <si>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</si>
  <si>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</si>
  <si>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</si>
  <si>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</si>
  <si>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</si>
  <si>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</si>
  <si>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</si>
  <si>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</si>
  <si>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</si>
  <si>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</si>
  <si>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</si>
  <si>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</si>
  <si>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</si>
  <si>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</si>
  <si>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</si>
  <si>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</si>
  <si>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</si>
  <si>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</si>
  <si>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</si>
  <si>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</si>
  <si>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</si>
  <si>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</si>
  <si>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</si>
  <si>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</si>
  <si>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</si>
  <si>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</si>
  <si>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</si>
  <si>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</si>
  <si>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</si>
  <si>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</si>
  <si>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</si>
  <si>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</si>
  <si>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</si>
  <si>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</si>
  <si>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</si>
  <si>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</si>
  <si>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</si>
  <si>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</si>
  <si>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</si>
  <si>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</si>
  <si>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</si>
  <si>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</si>
  <si>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</si>
  <si>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</si>
  <si>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</si>
  <si>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</si>
  <si>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</si>
  <si>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</si>
  <si>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</si>
  <si>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</si>
  <si>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</si>
  <si>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</si>
  <si>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</si>
  <si>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</si>
  <si>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</si>
  <si>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</si>
  <si>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</si>
  <si>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</si>
  <si>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</si>
  <si>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</si>
  <si>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</si>
  <si>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</si>
  <si>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</si>
  <si>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</si>
  <si>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</si>
  <si>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</si>
  <si>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</si>
  <si>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</si>
  <si>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</si>
  <si>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</si>
  <si>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</si>
  <si>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</si>
  <si>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</si>
  <si>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</si>
  <si>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</si>
  <si>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</si>
  <si>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</si>
  <si>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</si>
  <si>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</si>
  <si>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</si>
  <si>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</si>
  <si>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</si>
  <si>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</si>
  <si>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</si>
  <si>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</si>
  <si>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</si>
  <si>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</si>
  <si>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</si>
  <si>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</si>
  <si>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</si>
  <si>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</si>
  <si>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</si>
  <si>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</si>
  <si>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</si>
  <si>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</si>
  <si>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</si>
  <si>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</si>
  <si>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</si>
  <si>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</si>
  <si>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</si>
  <si>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</si>
  <si>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</si>
  <si>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</si>
  <si>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</si>
  <si>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</si>
  <si>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</si>
  <si>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</si>
  <si>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</si>
  <si>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</si>
  <si>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</si>
  <si>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</si>
  <si>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</si>
  <si>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</si>
  <si>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</si>
  <si>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</si>
  <si>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</si>
  <si>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</si>
  <si>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</si>
  <si>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</si>
  <si>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</si>
  <si>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</si>
  <si>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</si>
  <si>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</si>
  <si>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</si>
  <si>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</si>
  <si>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</si>
  <si>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</si>
  <si>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</si>
  <si>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</si>
  <si>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</si>
  <si>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</si>
  <si>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</si>
  <si>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</si>
  <si>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</si>
  <si>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</si>
  <si>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</si>
  <si>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</si>
  <si>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</si>
  <si>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</si>
  <si>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</si>
  <si>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</si>
  <si>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</si>
  <si>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</si>
  <si>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</si>
  <si>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</si>
  <si>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</si>
  <si>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</si>
  <si>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</si>
  <si>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</si>
  <si>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</si>
  <si>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</si>
  <si>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</si>
  <si>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</si>
  <si>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</si>
  <si>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</si>
  <si>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</si>
  <si>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</si>
  <si>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</si>
  <si>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</si>
  <si>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</si>
  <si>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</si>
  <si>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</si>
  <si>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</si>
  <si>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</si>
  <si>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</si>
  <si>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</si>
  <si>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</si>
  <si>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</si>
  <si>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</si>
  <si>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</si>
  <si>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</si>
  <si>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</si>
  <si>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</si>
  <si>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</si>
  <si>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</si>
  <si>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</si>
  <si>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</si>
  <si>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</si>
  <si>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</si>
  <si>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</si>
  <si>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</si>
  <si>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</si>
  <si>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</si>
  <si>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</si>
  <si>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</si>
  <si>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</si>
  <si>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</si>
  <si>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</si>
  <si>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</si>
  <si>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</si>
  <si>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</si>
  <si>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</si>
  <si>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</si>
  <si>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</si>
  <si>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</si>
  <si>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</si>
  <si>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</si>
  <si>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</si>
  <si>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</si>
  <si>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</si>
  <si>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</si>
  <si>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</si>
  <si>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</si>
  <si>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</si>
  <si>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</si>
  <si>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</si>
  <si>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</si>
  <si>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</si>
  <si>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</si>
  <si>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</si>
  <si>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</si>
  <si>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</si>
  <si>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</si>
  <si>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</si>
  <si>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</si>
  <si>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</si>
  <si>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</si>
  <si>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</si>
  <si>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</si>
  <si>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</si>
  <si>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</si>
  <si>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</si>
  <si>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</si>
  <si>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</si>
  <si>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</si>
  <si>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</si>
  <si>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</si>
  <si>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</si>
  <si>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</si>
  <si>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</si>
  <si>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</si>
  <si>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</si>
  <si>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</si>
  <si>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</si>
  <si>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</si>
  <si>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</si>
  <si>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</si>
  <si>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</si>
  <si>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</si>
  <si>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</si>
  <si>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</si>
  <si>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</si>
  <si>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</si>
  <si>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</si>
  <si>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</si>
  <si>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</si>
  <si>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</si>
  <si>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</si>
  <si>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</si>
  <si>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</si>
  <si>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</si>
  <si>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</si>
  <si>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</si>
  <si>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</si>
  <si>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</si>
  <si>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</si>
  <si>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</si>
  <si>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</si>
  <si>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</si>
  <si>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</si>
  <si>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</si>
  <si>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</si>
  <si>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</si>
  <si>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</si>
  <si>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</si>
  <si>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</si>
  <si>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</si>
  <si>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</si>
  <si>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</si>
  <si>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</si>
  <si>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</si>
  <si>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</si>
  <si>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</si>
  <si>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</si>
  <si>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</si>
  <si>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</si>
  <si>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</si>
  <si>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</si>
  <si>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</si>
  <si>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</si>
  <si>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</si>
  <si>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</si>
  <si>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</si>
  <si>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</si>
  <si>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</si>
  <si>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</si>
  <si>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</si>
  <si>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</si>
  <si>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</si>
  <si>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</si>
  <si>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</si>
  <si>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</si>
  <si>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</si>
  <si>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</si>
  <si>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</si>
  <si>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</si>
  <si>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</si>
  <si>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</si>
  <si>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</si>
  <si>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</si>
  <si>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</si>
  <si>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</si>
  <si>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</si>
  <si>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</si>
  <si>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</si>
  <si>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</si>
  <si>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</si>
  <si>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</si>
  <si>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</si>
  <si>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</si>
  <si>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</si>
  <si>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</si>
  <si>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</si>
  <si>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</si>
  <si>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</si>
  <si>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</si>
  <si>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</si>
  <si>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</si>
  <si>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</si>
  <si>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</si>
  <si>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</si>
  <si>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</si>
  <si>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</si>
  <si>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</si>
  <si>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</si>
  <si>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</si>
  <si>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</si>
  <si>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</si>
  <si>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</si>
  <si>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</si>
  <si>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</si>
  <si>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</si>
  <si>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</si>
  <si>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</si>
  <si>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</si>
  <si>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</si>
  <si>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</si>
  <si>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</si>
  <si>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</si>
  <si>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</si>
  <si>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</si>
  <si>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</si>
  <si>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</si>
  <si>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</si>
  <si>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</si>
  <si>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</si>
  <si>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</si>
  <si>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</si>
  <si>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</si>
  <si>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</si>
  <si>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</si>
  <si>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</si>
  <si>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</si>
  <si>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</si>
  <si>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</si>
  <si>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</si>
  <si>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</si>
  <si>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</si>
  <si>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</si>
  <si>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</si>
  <si>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</si>
  <si>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</si>
  <si>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</si>
  <si>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</si>
  <si>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</si>
  <si>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</si>
  <si>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</si>
  <si>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</si>
  <si>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</si>
  <si>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</si>
  <si>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</si>
  <si>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</si>
  <si>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</si>
  <si>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</si>
  <si>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</si>
  <si>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</si>
  <si>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</si>
  <si>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</si>
  <si>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</si>
  <si>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</si>
  <si>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</si>
  <si>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</si>
  <si>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</si>
  <si>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</si>
  <si>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</si>
  <si>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</si>
  <si>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</si>
  <si>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</si>
  <si>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</si>
  <si>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</si>
  <si>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</si>
  <si>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</si>
  <si>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</si>
  <si>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</si>
  <si>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</si>
  <si>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</si>
  <si>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</si>
  <si>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</si>
  <si>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</si>
  <si>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</si>
  <si>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</si>
  <si>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</si>
  <si>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</si>
  <si>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</si>
  <si>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</si>
  <si>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</si>
  <si>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</si>
  <si>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</si>
  <si>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</si>
  <si>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</si>
  <si>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</si>
  <si>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</si>
  <si>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</si>
  <si>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</si>
  <si>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</si>
  <si>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</si>
  <si>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</si>
  <si>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</si>
  <si>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</si>
  <si>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</si>
  <si>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</si>
  <si>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</si>
  <si>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</si>
  <si>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</si>
  <si>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</si>
  <si>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</si>
  <si>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</si>
  <si>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</si>
  <si>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</si>
  <si>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</si>
  <si>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</si>
  <si>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</si>
  <si>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</si>
  <si>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</si>
  <si>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</si>
  <si>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</si>
  <si>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</si>
  <si>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</si>
  <si>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</si>
  <si>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</si>
  <si>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</si>
  <si>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</si>
  <si>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</si>
  <si>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</si>
  <si>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</si>
  <si>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</si>
  <si>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</si>
  <si>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</si>
  <si>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</si>
  <si>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</si>
  <si>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</si>
  <si>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</si>
  <si>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</si>
  <si>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</si>
  <si>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</si>
  <si>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</si>
  <si>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</si>
  <si>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</si>
  <si>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</si>
  <si>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</si>
  <si>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</si>
  <si>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</si>
  <si>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</si>
  <si>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</si>
  <si>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</si>
  <si>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</si>
  <si>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</si>
  <si>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</si>
  <si>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</si>
  <si>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</si>
  <si>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</si>
  <si>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</si>
  <si>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</si>
  <si>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</si>
  <si>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</si>
  <si>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</si>
  <si>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</si>
  <si>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</si>
  <si>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</si>
  <si>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</si>
  <si>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</si>
  <si>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</si>
  <si>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</si>
  <si>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</si>
  <si>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</si>
  <si>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</si>
  <si>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</si>
  <si>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</si>
  <si>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</si>
  <si>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</si>
  <si>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</si>
  <si>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</si>
  <si>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</si>
  <si>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</si>
  <si>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</si>
  <si>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</si>
  <si>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</si>
  <si>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</si>
  <si>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</si>
  <si>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</si>
  <si>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</si>
  <si>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</si>
  <si>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</si>
  <si>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</si>
  <si>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</si>
  <si>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</si>
  <si>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</si>
  <si>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</si>
  <si>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</si>
  <si>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</si>
  <si>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</si>
  <si>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</si>
  <si>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</si>
  <si>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</si>
  <si>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</si>
  <si>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</si>
  <si>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</si>
  <si>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</si>
  <si>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</si>
  <si>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</si>
  <si>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</si>
  <si>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</si>
  <si>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</si>
  <si>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</si>
  <si>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</si>
  <si>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</si>
  <si>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</si>
  <si>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</si>
  <si>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</si>
  <si>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</si>
  <si>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</si>
  <si>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</si>
  <si>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</si>
  <si>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</si>
  <si>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</si>
  <si>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</si>
  <si>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</si>
  <si>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</si>
  <si>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</si>
  <si>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</si>
  <si>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</si>
  <si>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</si>
  <si>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</si>
  <si>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</si>
  <si>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</si>
  <si>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</si>
  <si>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</si>
  <si>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</si>
  <si>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</si>
  <si>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</si>
  <si>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</si>
  <si>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</si>
  <si>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</si>
  <si>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</si>
  <si>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</si>
  <si>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</si>
  <si>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</si>
  <si>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</si>
  <si>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</si>
  <si>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</si>
  <si>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</si>
  <si>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</si>
  <si>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</si>
  <si>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</si>
  <si>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</si>
  <si>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</si>
  <si>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</si>
  <si>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</si>
  <si>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</si>
  <si>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</si>
  <si>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</si>
  <si>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</si>
  <si>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</si>
  <si>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</si>
  <si>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</si>
  <si>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</si>
  <si>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</si>
  <si>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</si>
  <si>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</si>
  <si>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</si>
  <si>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</si>
  <si>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</si>
  <si>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</si>
  <si>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</si>
  <si>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</si>
  <si>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</si>
  <si>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</si>
  <si>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</si>
  <si>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</si>
  <si>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</si>
  <si>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</si>
  <si>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</si>
  <si>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</si>
  <si>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</si>
  <si>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</si>
  <si>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</si>
  <si>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</si>
  <si>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</si>
  <si>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</si>
  <si>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</si>
  <si>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</si>
  <si>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</si>
  <si>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</si>
  <si>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</si>
  <si>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</si>
  <si>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</si>
  <si>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</si>
  <si>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</si>
  <si>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</si>
  <si>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</si>
  <si>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</si>
  <si>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</si>
  <si>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</si>
  <si>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</si>
  <si>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</si>
  <si>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</si>
  <si>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</si>
  <si>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</si>
  <si>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</si>
  <si>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</si>
  <si>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</si>
  <si>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</si>
  <si>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</si>
  <si>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</si>
  <si>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</si>
  <si>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</si>
  <si>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</si>
  <si>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</si>
  <si>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</si>
  <si>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</si>
  <si>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</si>
  <si>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</si>
  <si>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</si>
  <si>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</si>
  <si>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</si>
  <si>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</si>
  <si>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</si>
  <si>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</si>
  <si>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</si>
  <si>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</si>
  <si>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</si>
  <si>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</si>
  <si>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</si>
  <si>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</si>
  <si>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</si>
  <si>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</si>
  <si>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</si>
  <si>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</si>
  <si>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</si>
  <si>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</si>
  <si>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</si>
  <si>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</si>
  <si>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</si>
  <si>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</si>
  <si>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</si>
  <si>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</si>
  <si>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</si>
  <si>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</si>
  <si>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</si>
  <si>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</si>
  <si>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</si>
  <si>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</si>
  <si>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</si>
  <si>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</si>
  <si>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</si>
  <si>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</si>
  <si>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</si>
  <si>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</si>
  <si>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</si>
  <si>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</si>
  <si>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</si>
  <si>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</si>
  <si>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</si>
  <si>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</si>
  <si>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</si>
  <si>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</si>
  <si>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</si>
  <si>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</si>
  <si>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</si>
  <si>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</si>
  <si>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</si>
  <si>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</si>
  <si>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</si>
  <si>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</si>
  <si>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</si>
  <si>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</si>
  <si>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</si>
  <si>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</si>
  <si>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</si>
  <si>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</si>
  <si>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</si>
  <si>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</si>
  <si>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</si>
  <si>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</si>
  <si>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</si>
  <si>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</si>
  <si>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</si>
  <si>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</si>
  <si>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</si>
  <si>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</si>
  <si>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</si>
  <si>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</si>
  <si>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</si>
  <si>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</si>
  <si>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</si>
  <si>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</si>
  <si>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</si>
  <si>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</si>
  <si>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</si>
  <si>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</si>
  <si>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</si>
  <si>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</si>
  <si>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</si>
  <si>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</si>
  <si>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</si>
  <si>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</si>
  <si>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</si>
  <si>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</si>
  <si>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</si>
  <si>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</si>
  <si>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</si>
  <si>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</si>
  <si>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</si>
  <si>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</si>
  <si>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</si>
  <si>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</si>
  <si>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</si>
  <si>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</si>
  <si>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</si>
  <si>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</si>
  <si>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</si>
  <si>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</si>
  <si>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</si>
  <si>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</si>
  <si>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</si>
  <si>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</si>
  <si>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</si>
  <si>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</si>
  <si>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</si>
  <si>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</si>
  <si>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</si>
  <si>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</si>
  <si>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</si>
  <si>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</si>
  <si>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</si>
  <si>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</si>
  <si>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</si>
  <si>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</si>
  <si>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</si>
  <si>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</si>
  <si>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</si>
  <si>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</si>
  <si>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</si>
  <si>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</si>
  <si>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</si>
  <si>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</si>
  <si>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</si>
  <si>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</si>
  <si>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</si>
  <si>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</si>
  <si>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</si>
  <si>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</si>
  <si>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</si>
  <si>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</si>
  <si>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</si>
  <si>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</si>
  <si>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</si>
  <si>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</si>
  <si>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</si>
  <si>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</si>
  <si>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</si>
  <si>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</si>
  <si>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</si>
  <si>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</si>
  <si>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</si>
  <si>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</si>
  <si>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</si>
  <si>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</si>
  <si>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</si>
  <si>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</si>
  <si>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</si>
  <si>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</si>
  <si>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</si>
  <si>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</si>
  <si>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</si>
  <si>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</si>
  <si>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</si>
  <si>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</si>
  <si>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</si>
  <si>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</si>
  <si>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</si>
  <si>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</si>
  <si>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</si>
  <si>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</si>
  <si>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</si>
  <si>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</si>
  <si>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</si>
  <si>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</si>
  <si>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</si>
  <si>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</si>
  <si>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</si>
  <si>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</si>
  <si>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</si>
  <si>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</si>
  <si>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</si>
  <si>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</si>
  <si>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</si>
  <si>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</si>
  <si>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</si>
  <si>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</si>
  <si>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</si>
  <si>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</si>
  <si>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</si>
  <si>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</si>
  <si>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</si>
  <si>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</si>
  <si>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</si>
  <si>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</si>
  <si>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</si>
  <si>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</si>
  <si>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</si>
  <si>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</si>
  <si>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</si>
  <si>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</si>
  <si>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</si>
  <si>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</si>
  <si>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</si>
  <si>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</si>
  <si>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</si>
  <si>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</si>
  <si>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</si>
  <si>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</si>
  <si>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</si>
  <si>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</si>
  <si>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</si>
  <si>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</si>
  <si>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</si>
  <si>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</si>
  <si>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</si>
  <si>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</si>
  <si>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</si>
  <si>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</si>
  <si>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</si>
  <si>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</si>
  <si>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</si>
  <si>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</si>
  <si>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</si>
  <si>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</si>
  <si>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</si>
  <si>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</si>
  <si>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</si>
  <si>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</si>
  <si>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</si>
  <si>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</si>
  <si>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</si>
  <si>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</si>
  <si>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</si>
  <si>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</si>
  <si>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</si>
  <si>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</si>
  <si>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</si>
  <si>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</si>
  <si>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</si>
  <si>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</si>
  <si>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</si>
  <si>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</si>
  <si>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</si>
  <si>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</si>
  <si>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</si>
  <si>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</si>
  <si>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</si>
  <si>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</si>
  <si>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</si>
  <si>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</si>
  <si>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</si>
  <si>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</si>
  <si>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</si>
  <si>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</si>
  <si>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</si>
  <si>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</si>
  <si>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</si>
  <si>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</si>
  <si>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</si>
  <si>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</si>
  <si>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</si>
  <si>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</si>
  <si>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</si>
  <si>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</si>
  <si>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</si>
  <si>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</si>
  <si>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</si>
  <si>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</si>
  <si>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</si>
  <si>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CID000292</t>
    <phoneticPr fontId="97"/>
  </si>
  <si>
    <t>RMI</t>
    <phoneticPr fontId="98"/>
  </si>
  <si>
    <t>4100 6th Avenue</t>
  </si>
  <si>
    <t>Steef Nuijens</t>
  </si>
  <si>
    <t>snuijens@alent.com</t>
  </si>
  <si>
    <t>CFS smelter valid until November 25, 2015</t>
  </si>
  <si>
    <t xml:space="preserve">Some are recycled or scrap sourced but not all. 
</t>
  </si>
  <si>
    <t xml:space="preserve">Mineral sourcing L1,R/S, Some are recycled or scrap sourced but not all. </t>
  </si>
  <si>
    <t>EICC-GeSI certified Conflict Free</t>
  </si>
  <si>
    <t>RMI</t>
    <phoneticPr fontId="98"/>
  </si>
  <si>
    <t xml:space="preserve">
60-1 Otarube, Kosaka-machi, Kazuno-gun, Akita 017-0202 Japan</t>
  </si>
  <si>
    <t xml:space="preserve">Yoshihito Koga </t>
  </si>
  <si>
    <t xml:space="preserve">kogay1@dowa.co.jp </t>
  </si>
  <si>
    <t xml:space="preserve">CFS smelter valid until September 11, 2015, Re-audit in progress
</t>
  </si>
  <si>
    <t>Not disclosed by supplier</t>
  </si>
  <si>
    <t>Mineral sourcing L1, Not disclosed by supplier</t>
  </si>
  <si>
    <t>ul. Strefowa 13, 39-442 Chmielów</t>
  </si>
  <si>
    <t>Subcarpathian Voivodeship</t>
  </si>
  <si>
    <t>Pawel Kupiec</t>
  </si>
  <si>
    <t>p.kupiec@fenixmetal.com</t>
  </si>
  <si>
    <t>CFS smelter valid until October 8, 2015</t>
  </si>
  <si>
    <t>Recyled, Scrap, Not disclosed by supplier</t>
  </si>
  <si>
    <t>Mineral sourcing R/S, Bolivia</t>
  </si>
  <si>
    <t>Gejiu, Yunnan / China</t>
  </si>
  <si>
    <t>Yunnan</t>
  </si>
  <si>
    <t>Wu Ying</t>
  </si>
  <si>
    <t>wuytt@yahoo.com.cn</t>
  </si>
  <si>
    <t>none</t>
  </si>
  <si>
    <t>Yunnan Gejiu</t>
  </si>
  <si>
    <t>confidential   (not recycled or scrap)</t>
  </si>
  <si>
    <t>Metallo-Chimique N.V.</t>
  </si>
  <si>
    <t>RMI</t>
    <phoneticPr fontId="98"/>
  </si>
  <si>
    <t xml:space="preserve">Nieuwe Dreef 33, 2340 </t>
  </si>
  <si>
    <t>Mrs. Inge Hofkens</t>
  </si>
  <si>
    <t>Inge.Hofkens@metallo.com</t>
  </si>
  <si>
    <t>Active Smelter</t>
  </si>
  <si>
    <t>Av. Joao Ferreira Penna, 281 Distrito industrial III,  CEP 14707-202 Bebedouro, Sao Paulo, Brazil</t>
  </si>
  <si>
    <t>Paulo Toledo de Abreau Jr.</t>
  </si>
  <si>
    <t>paulotoledo@softmetais.com.br</t>
  </si>
  <si>
    <t>CFS smelter valid until March 18, 2016</t>
  </si>
  <si>
    <t>L1</t>
  </si>
  <si>
    <t>CFSP Compliant Smelter</t>
  </si>
  <si>
    <t>None, CFS Certified</t>
  </si>
  <si>
    <t>CID000019</t>
    <phoneticPr fontId="97"/>
  </si>
  <si>
    <t>6-15-13 Minami-cho, Fuchu-shi, Tokyo, 1830026 Japan</t>
    <phoneticPr fontId="97"/>
  </si>
  <si>
    <t xml:space="preserve">
Seigo Mukoyama</t>
  </si>
  <si>
    <t>jigane@aida-j.jp</t>
  </si>
  <si>
    <t>CFS smelter valid until March 04, 2016</t>
  </si>
  <si>
    <t>Recycled, Scrap</t>
  </si>
  <si>
    <t>Mineral sourcing R/S, recycled</t>
  </si>
  <si>
    <t>CID000035</t>
    <phoneticPr fontId="97"/>
  </si>
  <si>
    <t>Kanzlerstrasse 17</t>
    <phoneticPr fontId="97"/>
  </si>
  <si>
    <t>Margot Bohnenberger</t>
  </si>
  <si>
    <t>margot.bohnenberger@agosi.de</t>
  </si>
  <si>
    <t>CFS smelter valid until August 13, 2016, Audited by RJC</t>
  </si>
  <si>
    <t>Not disclosed per RJC</t>
  </si>
  <si>
    <t>CID000924</t>
    <phoneticPr fontId="97"/>
  </si>
  <si>
    <t>130 Glidden Road</t>
    <phoneticPr fontId="97"/>
  </si>
  <si>
    <t>Ray Gaudet</t>
  </si>
  <si>
    <t xml:space="preserve">gaudetrg@matthey.com </t>
  </si>
  <si>
    <t xml:space="preserve">CFS smelter valid until June 5, 2015, Audited by LBMA
</t>
  </si>
  <si>
    <t>Recycled</t>
  </si>
  <si>
    <t>Mineral sourcing not disclosed per LBMA, Recycled</t>
  </si>
  <si>
    <t>CID000920</t>
    <phoneticPr fontId="97"/>
  </si>
  <si>
    <t>4601 West 2100 South</t>
    <phoneticPr fontId="97"/>
  </si>
  <si>
    <t>Jerry Gill</t>
  </si>
  <si>
    <t>Gilljt@jmusa.com</t>
  </si>
  <si>
    <t>CFS smelter valid until June 5, 2015, Audited by LBMA</t>
  </si>
  <si>
    <t>Not disclosed per LBMA</t>
  </si>
  <si>
    <t>CID000090</t>
    <phoneticPr fontId="97"/>
  </si>
  <si>
    <t>47 Aza Maseguchi, Kanaya Tamura-machi, Koriyama-shi, Fukushima, 963-0725, JAPAN</t>
    <phoneticPr fontId="97"/>
  </si>
  <si>
    <t>Akihiko Hamao</t>
  </si>
  <si>
    <t>pahamo@asaka.co.jp</t>
  </si>
  <si>
    <t>This smelter is listed in CFSI active smelter list.</t>
  </si>
  <si>
    <t>recycled</t>
  </si>
  <si>
    <t>R/S</t>
  </si>
  <si>
    <t>CID000113</t>
    <phoneticPr fontId="97"/>
  </si>
  <si>
    <t>Hovestrasse 50</t>
    <phoneticPr fontId="97"/>
  </si>
  <si>
    <t>Hamburg State</t>
  </si>
  <si>
    <t>Dr.Bernt Drouven</t>
  </si>
  <si>
    <t>info@aurubis.com</t>
  </si>
  <si>
    <t xml:space="preserve">CFS smelter valid until December 12, 2015, Audited by LBMA
</t>
  </si>
  <si>
    <t>Mineral sourcing not disclosed per LBMA, Not disclosed by supplier</t>
  </si>
  <si>
    <t>CID000157</t>
    <phoneticPr fontId="97"/>
  </si>
  <si>
    <t>Skelleftehamn, Skellefteå Municipality, Västerbotten County, Sweden</t>
    <phoneticPr fontId="97"/>
  </si>
  <si>
    <t>Västerbotten</t>
  </si>
  <si>
    <t>CFS smelter valid until December 15, 2015, Audited by LBMA</t>
  </si>
  <si>
    <t>CID000401</t>
    <phoneticPr fontId="97"/>
  </si>
  <si>
    <t>60-1 Otarube Kosakakouzan  Kosakama-machiKazuno-gun Akita</t>
  </si>
  <si>
    <t>Mr. Koji Miyake</t>
  </si>
  <si>
    <t>miyakek@dowa.co.jp
Tel: +81-368471204
Tel: +81-368471200
http://www.dowa.co.jp</t>
  </si>
  <si>
    <t>CFS smelter valid until September 11, 2015, Re-audit in progress</t>
  </si>
  <si>
    <t>Recycled, from Huckleberry</t>
  </si>
  <si>
    <t>Mineral sourcing L1, R/S, Canada, recycled</t>
  </si>
  <si>
    <t>CID000425</t>
    <phoneticPr fontId="97"/>
  </si>
  <si>
    <t>Eco-System Recycling Co., Ltd.</t>
  </si>
  <si>
    <t>1781-3 Nitte</t>
    <phoneticPr fontId="97"/>
  </si>
  <si>
    <t>Yuki Okada</t>
  </si>
  <si>
    <t>okaday3@dowa.co.jp</t>
  </si>
  <si>
    <t xml:space="preserve">CFS smelter valid until December 18, 2015, Re-audit in progress
</t>
  </si>
  <si>
    <t>Mineral sourcing R/S, Recycled</t>
  </si>
  <si>
    <t>CID000807</t>
    <phoneticPr fontId="97"/>
  </si>
  <si>
    <t>2-12-30 Aoyagi Soka</t>
    <phoneticPr fontId="97"/>
  </si>
  <si>
    <t>Naohiko Shintani</t>
  </si>
  <si>
    <t>naohiko-shintani@mitsui-high-tec.com
Tel: +81-332523131
http://www.ishifuku.co.jp</t>
  </si>
  <si>
    <t xml:space="preserve">CFS smelter valid until March 30, 2016, Audited by LBMA
</t>
  </si>
  <si>
    <t>Conflict Free Smelter</t>
  </si>
  <si>
    <t>CID000814</t>
    <phoneticPr fontId="97"/>
  </si>
  <si>
    <t xml:space="preserve">Kuyumcukent, Istanbul, Turkey </t>
  </si>
  <si>
    <t xml:space="preserve">confo@igrglobal.com, anna.dinzler@igrglobal.com </t>
  </si>
  <si>
    <t>CFS smelter valid until January 1, 2015, Audited by LBMA</t>
  </si>
  <si>
    <t>CID000929</t>
    <phoneticPr fontId="97"/>
  </si>
  <si>
    <t>Sverdlovsk</t>
  </si>
  <si>
    <t>Not disclosed per RJC</t>
    <phoneticPr fontId="97"/>
  </si>
  <si>
    <t>CID000957</t>
    <phoneticPr fontId="97"/>
  </si>
  <si>
    <t xml:space="preserve">1, Promyshlennaya Street 070002 Ust-Kamenogorsk </t>
  </si>
  <si>
    <t>East Kazakhstan</t>
  </si>
  <si>
    <t>No action</t>
  </si>
  <si>
    <t>L1, R/S</t>
  </si>
  <si>
    <t>CID000969</t>
    <phoneticPr fontId="97"/>
  </si>
  <si>
    <t>4700 Daybreak Parkway South Jordan, UT  84095</t>
  </si>
  <si>
    <t>CID000981</t>
    <phoneticPr fontId="97"/>
  </si>
  <si>
    <t>337-26 Kashiwabara Sayama Saitama, Japam</t>
  </si>
  <si>
    <t>N/A</t>
    <phoneticPr fontId="97"/>
  </si>
  <si>
    <t xml:space="preserve">Some are recycled or scrap sourced but not all. </t>
  </si>
  <si>
    <t>CID001078</t>
    <phoneticPr fontId="97"/>
  </si>
  <si>
    <t>KOREA (REPUBLIC OF)</t>
  </si>
  <si>
    <t>20st Floor ASEM Tower, Trade Center, Samsung-dong 159</t>
    <phoneticPr fontId="97"/>
  </si>
  <si>
    <t>Ulsan</t>
  </si>
  <si>
    <t>SY Hong;
JinWon Jung;
BH Choi</t>
  </si>
  <si>
    <t>syhong@lsnikko.com;
gogilra11@lsnikko.com;
eun85710@nate.com</t>
  </si>
  <si>
    <t>CFS smelter valid until June 30, 2015, Audited by LBMA</t>
  </si>
  <si>
    <t>From Escondida, Andia, Cuquicamata, Vale</t>
  </si>
  <si>
    <t>Mineral sourcing not disclosed per LBMA, Chile, Brazil</t>
  </si>
  <si>
    <t>Conflict-Free Smelter</t>
  </si>
  <si>
    <t>CID001113</t>
    <phoneticPr fontId="97"/>
  </si>
  <si>
    <t>2978 Main Street</t>
    <phoneticPr fontId="97"/>
  </si>
  <si>
    <t>Michael O'Neill</t>
  </si>
  <si>
    <t xml:space="preserve"> Michael.ONeill@materion.com</t>
  </si>
  <si>
    <t xml:space="preserve">CFS smelter valid until February 6, 2014, Re-audit in progress
</t>
  </si>
  <si>
    <t>Recycled and scrap</t>
  </si>
  <si>
    <t>Mineral sourcing L1, R/S, Recycled and scrap, USA</t>
  </si>
  <si>
    <t>CID001149</t>
    <phoneticPr fontId="97"/>
  </si>
  <si>
    <t>Suite 1705-9, The Metropolis Tower 10 Metropolis Drive</t>
    <phoneticPr fontId="97"/>
  </si>
  <si>
    <t>Hong Kong</t>
  </si>
  <si>
    <t>Yeuk Fung Tsoi
Frank Hsiao</t>
  </si>
  <si>
    <t>Yeuk_Fung_Tsoi@metalor.com
frank.hsiao@metalor.com
Tel: +852-25211431
Tel: +852-23650301
Tel: +852-28867776
http://www.metalor.com</t>
  </si>
  <si>
    <t xml:space="preserve">CFS smelter valid until November 26, 2016, Audited by RJC
</t>
  </si>
  <si>
    <t>From Metalor Technologies (Hong Kong)</t>
  </si>
  <si>
    <t>Mineral sourcing not disclosed per RJC, Not disclosed by  supplier</t>
  </si>
  <si>
    <t>CID001153</t>
    <phoneticPr fontId="97"/>
  </si>
  <si>
    <t>Route des Perveuils 8</t>
  </si>
  <si>
    <t>Antoine de Montmollin</t>
  </si>
  <si>
    <t>Antoine.DeMontmollin@metalor.com</t>
  </si>
  <si>
    <t>Recycled or scrap, More than 80% of gold source coming from recycle &amp; scrap.</t>
  </si>
  <si>
    <t>Mineral sourcing not disclosed per RJC, Countries other than Democratic Republic of the Congo and the nine countries which with it shares an internationally recognized border: Angola, Burundi, Central African Republic, Republic of the Congo, Rwanda, South Sudan, Tanzania, Uganda, Zambia.</t>
  </si>
  <si>
    <t>CID001157</t>
    <phoneticPr fontId="97"/>
  </si>
  <si>
    <t>255 John L. Dietsch Blvd</t>
    <phoneticPr fontId="97"/>
  </si>
  <si>
    <t>Larry Drummond</t>
  </si>
  <si>
    <t>larry.drummond@metalor.com</t>
  </si>
  <si>
    <t>Mineral sourcing not disclosed per RJC, Recycled</t>
  </si>
  <si>
    <t>CID001161</t>
    <phoneticPr fontId="97"/>
  </si>
  <si>
    <t>Calzada Legaria No. 549 Torre 2 Colonia 10 de abril</t>
  </si>
  <si>
    <t>Coahuila</t>
  </si>
  <si>
    <t>Rafael Rebollar</t>
  </si>
  <si>
    <t>rafael_rebollar@penoles.com.mx</t>
  </si>
  <si>
    <t>not available</t>
  </si>
  <si>
    <t>CID001259</t>
    <phoneticPr fontId="97"/>
  </si>
  <si>
    <t>19-2, Hayama</t>
    <phoneticPr fontId="97"/>
  </si>
  <si>
    <t>Yasuyuki Yonenaga</t>
  </si>
  <si>
    <t>yonenaga@material.co.jp</t>
  </si>
  <si>
    <t xml:space="preserve">CFS smelter valid until September 18, 2014, Transitioning to LBMA
</t>
  </si>
  <si>
    <t>Mineral sourcing L1, R/S, Recycled</t>
  </si>
  <si>
    <t>CID001325</t>
    <phoneticPr fontId="97"/>
  </si>
  <si>
    <t>284 Nishinokyo-cho Nara-shi Nara Japan</t>
    <phoneticPr fontId="97"/>
  </si>
  <si>
    <t>CID001326</t>
    <phoneticPr fontId="97"/>
  </si>
  <si>
    <t>N/A</t>
    <phoneticPr fontId="97"/>
  </si>
  <si>
    <t>Krasnoyarsk Krai</t>
  </si>
  <si>
    <t>CID001386</t>
    <phoneticPr fontId="97"/>
  </si>
  <si>
    <t>Ryazan</t>
  </si>
  <si>
    <t>CID001498</t>
    <phoneticPr fontId="97"/>
  </si>
  <si>
    <t>Boulevard des Eplatures 42</t>
    <phoneticPr fontId="97"/>
  </si>
  <si>
    <t>Lucien Reclaru</t>
  </si>
  <si>
    <t>lucien.reclaru@pxgroup.com</t>
  </si>
  <si>
    <t>CFS smelter valid until March 3, 2016, Audited by LBMA</t>
  </si>
  <si>
    <t>CID001534</t>
    <phoneticPr fontId="97"/>
  </si>
  <si>
    <t>320 Sussex Drive, Ottawa</t>
    <phoneticPr fontId="97"/>
  </si>
  <si>
    <t>Robin Entwistle
Chris Carkner
Alex Reeves</t>
  </si>
  <si>
    <t>entwistle@mint.ca
carkner@mint.ca
reeves@mint.ca
Tel: +613-6139542626
Tel: +613-6139495777
http://www.mint.ca</t>
  </si>
  <si>
    <t>CFS smelter valid until March 30, 2016, Audited by LBMA</t>
  </si>
  <si>
    <t>From various mines, scrap recyclers</t>
  </si>
  <si>
    <t>Mineral sourcing not disclosed per LBMA, Canada, Suriname, Guyana, and recycled and scrap</t>
  </si>
  <si>
    <t>CID001585</t>
    <phoneticPr fontId="97"/>
  </si>
  <si>
    <t>Avda. De la Democracia 13</t>
    <phoneticPr fontId="97"/>
  </si>
  <si>
    <t>Community of Madrid</t>
  </si>
  <si>
    <t>Mr Julian SARDA</t>
  </si>
  <si>
    <t>jsarda@sempsajp.com</t>
  </si>
  <si>
    <t>CFS smelter valid until December 10, 2015</t>
  </si>
  <si>
    <t>Scrap or recycled</t>
  </si>
  <si>
    <t>Mineral sourcing not disclosed per LBMA, Scrap or recycled</t>
  </si>
  <si>
    <t>Delta Electronics (DongGuan) Co., Ltd.</t>
  </si>
  <si>
    <t>All the production of DG FMBG</t>
    <phoneticPr fontId="6" type="noConversion"/>
  </si>
  <si>
    <t>DELTA</t>
  </si>
  <si>
    <t>Fan &amp; Thermal management BG</t>
  </si>
  <si>
    <t>252 Shangying Road,Guishan Industrial Zone,Taoyuan County 33341, Taiwan, R.O.C.</t>
  </si>
  <si>
    <t>ZHONGLIANG.XIAO</t>
  </si>
  <si>
    <t>ZHONGLIANG.XIAO@deltaww.com</t>
  </si>
  <si>
    <t xml:space="preserve"> +86-0769-86329008 Ext: 2927</t>
  </si>
  <si>
    <t xml:space="preserve">JERRY.JY.KUO </t>
    <phoneticPr fontId="99" type="noConversion"/>
  </si>
  <si>
    <t>FMBG SCM</t>
  </si>
  <si>
    <t>Jerry.jy.kuo@deltaww.com</t>
    <phoneticPr fontId="99" type="noConversion"/>
  </si>
  <si>
    <t>+886-3-3591968 Ext:6023</t>
    <phoneticPr fontId="99" type="noConversion"/>
  </si>
  <si>
    <t>http://www.deltaww.com/fileCenter/about/download/Delta_Conflict_Minerals_Policy.pdf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</si>
</sst>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9"/>
      <name val="DengXian"/>
      <family val="3"/>
      <charset val="134"/>
    </font>
    <font>
      <vertAlign val="superscript"/>
      <sz val="11"/>
      <name val="Verdana"/>
      <family val="2"/>
    </font>
    <font>
      <sz val="6"/>
      <name val="ＭＳ Ｐゴシック"/>
      <family val="3"/>
      <charset val="128"/>
    </font>
    <font>
      <sz val="8"/>
      <name val="돋움"/>
      <family val="3"/>
      <charset val="129"/>
    </font>
    <font>
      <sz val="12"/>
      <name val="宋体"/>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0" fontId="8" fillId="0" borderId="0" applyNumberFormat="0" applyFill="0" applyBorder="0" applyAlignment="0" applyProtection="0">
      <alignment vertical="top"/>
      <protection locked="0"/>
    </xf>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80"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3" fillId="0" borderId="0" xfId="0" applyFont="1"/>
    <xf numFmtId="180"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0" fillId="33" borderId="53" xfId="0" applyFont="1" applyFill="1" applyBorder="1" applyAlignment="1" applyProtection="1">
      <alignment horizontal="left" vertical="center"/>
      <protection locked="0" hidden="1"/>
    </xf>
    <xf numFmtId="0" fontId="0" fillId="0" borderId="65" xfId="0" applyFont="1" applyBorder="1" applyProtection="1">
      <protection locked="0"/>
    </xf>
    <xf numFmtId="0" fontId="0" fillId="0" borderId="66" xfId="0" applyFont="1" applyBorder="1" applyProtection="1">
      <protection locked="0"/>
    </xf>
    <xf numFmtId="0" fontId="0" fillId="33" borderId="65" xfId="0" applyFill="1" applyBorder="1" applyAlignment="1" applyProtection="1">
      <alignment horizontal="left" vertical="center" wrapText="1"/>
      <protection locked="0"/>
    </xf>
    <xf numFmtId="0" fontId="0" fillId="0" borderId="67"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5" xfId="0" applyFont="1" applyBorder="1" applyAlignment="1" applyProtection="1">
      <alignment wrapText="1"/>
      <protection locked="0"/>
    </xf>
    <xf numFmtId="0" fontId="0" fillId="0" borderId="66" xfId="0" applyFont="1" applyBorder="1" applyAlignment="1" applyProtection="1">
      <alignment wrapText="1"/>
      <protection locked="0"/>
    </xf>
    <xf numFmtId="0" fontId="0" fillId="33" borderId="42" xfId="0" applyFont="1" applyFill="1" applyBorder="1" applyAlignment="1" applyProtection="1">
      <alignment horizontal="left" vertical="center"/>
      <protection locked="0"/>
    </xf>
    <xf numFmtId="0" fontId="0" fillId="33" borderId="68" xfId="0" applyFont="1" applyFill="1" applyBorder="1" applyAlignment="1" applyProtection="1">
      <alignment horizontal="lef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 fillId="33" borderId="61" xfId="487" applyFill="1" applyBorder="1" applyAlignment="1" applyProtection="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61" xfId="487" applyNumberFormat="1" applyFill="1" applyBorder="1" applyAlignment="1" applyProtection="1">
      <alignment horizontal="left" vertical="center" wrapText="1"/>
      <protection locked="0"/>
    </xf>
    <xf numFmtId="49" fontId="8" fillId="33" borderId="10" xfId="487" applyNumberFormat="1" applyFill="1" applyBorder="1" applyAlignment="1" applyProtection="1">
      <alignment horizontal="left" vertical="center" wrapText="1"/>
      <protection locked="0"/>
    </xf>
    <xf numFmtId="49" fontId="8" fillId="33" borderId="37" xfId="487" applyNumberFormat="1" applyFill="1" applyBorder="1" applyAlignment="1" applyProtection="1">
      <alignment horizontal="left" vertical="center" wrapText="1"/>
      <protection locked="0"/>
    </xf>
    <xf numFmtId="49" fontId="8" fillId="33" borderId="61" xfId="593" applyNumberFormat="1" applyFill="1" applyBorder="1" applyAlignment="1" applyProtection="1">
      <alignment horizontal="left" vertical="center" wrapText="1"/>
      <protection locked="0"/>
    </xf>
    <xf numFmtId="49" fontId="100" fillId="33" borderId="10" xfId="0" applyNumberFormat="1" applyFont="1" applyFill="1" applyBorder="1" applyAlignment="1" applyProtection="1">
      <alignment horizontal="left" vertical="center" wrapText="1"/>
      <protection locked="0"/>
    </xf>
    <xf numFmtId="49" fontId="100" fillId="33"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連結 2" xfId="593"/>
    <cellStyle name="超链接" xfId="487" builtinId="8"/>
    <cellStyle name="一般 7" xfId="588"/>
    <cellStyle name="표준 2" xfId="587"/>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5F5F5F"/>
        </patternFill>
      </fill>
    </dxf>
    <dxf>
      <fill>
        <patternFill>
          <bgColor indexed="1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ornphas.Niem@deltaww.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deltaww.com/fileCenter/about/download/Delta_Conflict_Minerals_Policy.pdf" TargetMode="External"/><Relationship Id="rId4" Type="http://schemas.openxmlformats.org/officeDocument/2006/relationships/hyperlink" Target="mailto:IVAN.TANG@deltaww.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6" activePane="bottomRight" state="frozen"/>
      <selection activeCell="A4" sqref="A4"/>
      <selection pane="topRight" activeCell="A4" sqref="A4"/>
      <selection pane="bottomLeft" activeCell="A4" sqref="A4"/>
      <selection pane="bottomRight" activeCell="F51" sqref="F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72"/>
      <c r="B2" s="38" t="s">
        <v>870</v>
      </c>
      <c r="C2" s="36"/>
      <c r="D2" s="208"/>
      <c r="E2" s="3"/>
      <c r="F2" s="36"/>
      <c r="G2" s="34"/>
    </row>
    <row r="3" spans="1:7">
      <c r="A3" s="372"/>
      <c r="B3" s="5" t="s">
        <v>862</v>
      </c>
      <c r="C3" s="6"/>
      <c r="D3" s="209"/>
      <c r="E3" s="3"/>
      <c r="F3" s="6"/>
      <c r="G3" s="34"/>
    </row>
    <row r="4" spans="1:7" ht="15.75">
      <c r="A4" s="372"/>
      <c r="B4" s="41" t="s">
        <v>872</v>
      </c>
      <c r="C4" s="7"/>
      <c r="D4" s="210"/>
      <c r="E4" s="3"/>
      <c r="F4" s="7"/>
      <c r="G4" s="34"/>
    </row>
    <row r="5" spans="1:7">
      <c r="A5" s="372"/>
      <c r="B5" s="40" t="s">
        <v>1063</v>
      </c>
      <c r="C5" s="4"/>
      <c r="D5" s="211"/>
      <c r="E5" s="3"/>
      <c r="F5" s="4"/>
      <c r="G5" s="34"/>
    </row>
    <row r="6" spans="1:7">
      <c r="A6" s="372"/>
      <c r="B6" s="8"/>
      <c r="C6" s="8"/>
      <c r="D6" s="212"/>
      <c r="E6" s="8"/>
      <c r="F6" s="8"/>
      <c r="G6" s="34"/>
    </row>
    <row r="7" spans="1:7">
      <c r="A7" s="372"/>
      <c r="B7" s="8"/>
      <c r="C7" s="8"/>
      <c r="D7" s="212"/>
      <c r="E7" s="8"/>
      <c r="F7" s="8"/>
      <c r="G7" s="34"/>
    </row>
    <row r="8" spans="1:7">
      <c r="A8" s="372"/>
      <c r="B8" s="8"/>
      <c r="C8" s="8"/>
      <c r="D8" s="212"/>
      <c r="E8" s="8"/>
      <c r="F8" s="8"/>
      <c r="G8" s="34"/>
    </row>
    <row r="9" spans="1:7">
      <c r="A9" s="372"/>
      <c r="B9" s="375" t="s">
        <v>873</v>
      </c>
      <c r="C9" s="375"/>
      <c r="D9" s="375"/>
      <c r="E9" s="375"/>
      <c r="F9" s="375"/>
      <c r="G9" s="34"/>
    </row>
    <row r="10" spans="1:7" ht="27" customHeight="1">
      <c r="A10" s="372"/>
      <c r="B10" s="376" t="s">
        <v>448</v>
      </c>
      <c r="C10" s="376"/>
      <c r="D10" s="376"/>
      <c r="E10" s="376"/>
      <c r="F10" s="376"/>
      <c r="G10" s="34"/>
    </row>
    <row r="11" spans="1:7" ht="27" customHeight="1">
      <c r="A11" s="372"/>
      <c r="B11" s="377"/>
      <c r="C11" s="377"/>
      <c r="D11" s="377"/>
      <c r="E11" s="377"/>
      <c r="F11" s="377"/>
      <c r="G11" s="34"/>
    </row>
    <row r="12" spans="1:7">
      <c r="A12" s="372"/>
      <c r="B12" s="42" t="s">
        <v>871</v>
      </c>
      <c r="C12" s="43" t="s">
        <v>874</v>
      </c>
      <c r="D12" s="213" t="s">
        <v>875</v>
      </c>
      <c r="E12" s="43" t="s">
        <v>628</v>
      </c>
      <c r="F12" s="43" t="s">
        <v>629</v>
      </c>
      <c r="G12" s="34"/>
    </row>
    <row r="13" spans="1:7" ht="33.75">
      <c r="A13" s="372"/>
      <c r="B13" s="2">
        <v>1</v>
      </c>
      <c r="C13" s="37" t="s">
        <v>1111</v>
      </c>
      <c r="D13" s="39" t="s">
        <v>899</v>
      </c>
      <c r="E13" s="196" t="s">
        <v>876</v>
      </c>
      <c r="F13" s="196"/>
      <c r="G13" s="34"/>
    </row>
    <row r="14" spans="1:7" ht="33.75">
      <c r="A14" s="372"/>
      <c r="B14" s="2">
        <v>2</v>
      </c>
      <c r="C14" s="37" t="s">
        <v>1111</v>
      </c>
      <c r="D14" s="39" t="s">
        <v>1048</v>
      </c>
      <c r="E14" s="196" t="s">
        <v>540</v>
      </c>
      <c r="F14" s="196" t="s">
        <v>541</v>
      </c>
      <c r="G14" s="34"/>
    </row>
    <row r="15" spans="1:7" ht="89.1" customHeight="1">
      <c r="A15" s="372"/>
      <c r="B15" s="357">
        <v>2.0099999999999998</v>
      </c>
      <c r="C15" s="369" t="s">
        <v>1111</v>
      </c>
      <c r="D15" s="378" t="s">
        <v>2358</v>
      </c>
      <c r="E15" s="197" t="s">
        <v>630</v>
      </c>
      <c r="F15" s="197" t="s">
        <v>633</v>
      </c>
      <c r="G15" s="34"/>
    </row>
    <row r="16" spans="1:7" ht="99" customHeight="1">
      <c r="A16" s="372"/>
      <c r="B16" s="358"/>
      <c r="C16" s="370"/>
      <c r="D16" s="379"/>
      <c r="E16" s="198"/>
      <c r="F16" s="198" t="s">
        <v>631</v>
      </c>
      <c r="G16" s="34"/>
    </row>
    <row r="17" spans="1:7" ht="63" customHeight="1">
      <c r="A17" s="372"/>
      <c r="B17" s="359"/>
      <c r="C17" s="371"/>
      <c r="D17" s="380"/>
      <c r="E17" s="37"/>
      <c r="F17" s="37" t="s">
        <v>632</v>
      </c>
      <c r="G17" s="34"/>
    </row>
    <row r="18" spans="1:7" ht="117" customHeight="1">
      <c r="A18" s="372"/>
      <c r="B18" s="357">
        <v>2.02</v>
      </c>
      <c r="C18" s="369" t="s">
        <v>1111</v>
      </c>
      <c r="D18" s="378" t="s">
        <v>2359</v>
      </c>
      <c r="E18" s="197" t="s">
        <v>449</v>
      </c>
      <c r="F18" s="197" t="s">
        <v>535</v>
      </c>
      <c r="G18" s="34"/>
    </row>
    <row r="19" spans="1:7" ht="71.099999999999994" customHeight="1">
      <c r="A19" s="372"/>
      <c r="B19" s="358"/>
      <c r="C19" s="370"/>
      <c r="D19" s="379"/>
      <c r="E19" s="198" t="s">
        <v>539</v>
      </c>
      <c r="F19" s="198" t="s">
        <v>450</v>
      </c>
      <c r="G19" s="34"/>
    </row>
    <row r="20" spans="1:7" ht="90.75" customHeight="1">
      <c r="A20" s="372"/>
      <c r="B20" s="358"/>
      <c r="C20" s="370"/>
      <c r="D20" s="379"/>
      <c r="E20" s="198"/>
      <c r="F20" s="198" t="s">
        <v>635</v>
      </c>
      <c r="G20" s="34"/>
    </row>
    <row r="21" spans="1:7" ht="74.25" customHeight="1">
      <c r="A21" s="372"/>
      <c r="B21" s="359"/>
      <c r="C21" s="371"/>
      <c r="D21" s="380"/>
      <c r="E21" s="37"/>
      <c r="F21" s="37" t="s">
        <v>634</v>
      </c>
      <c r="G21" s="34"/>
    </row>
    <row r="22" spans="1:7" ht="90" customHeight="1">
      <c r="A22" s="372"/>
      <c r="B22" s="363">
        <v>2.0299999999999998</v>
      </c>
      <c r="C22" s="363" t="s">
        <v>845</v>
      </c>
      <c r="D22" s="366" t="s">
        <v>2360</v>
      </c>
      <c r="E22" s="369" t="s">
        <v>447</v>
      </c>
      <c r="F22" s="197" t="s">
        <v>470</v>
      </c>
      <c r="G22" s="34"/>
    </row>
    <row r="23" spans="1:7" ht="109.5" customHeight="1">
      <c r="A23" s="372"/>
      <c r="B23" s="364"/>
      <c r="C23" s="364"/>
      <c r="D23" s="367"/>
      <c r="E23" s="370"/>
      <c r="F23" s="198" t="s">
        <v>846</v>
      </c>
      <c r="G23" s="34"/>
    </row>
    <row r="24" spans="1:7" ht="74.25" customHeight="1">
      <c r="A24" s="372"/>
      <c r="B24" s="365"/>
      <c r="C24" s="365"/>
      <c r="D24" s="368"/>
      <c r="E24" s="371"/>
      <c r="F24" s="37" t="s">
        <v>446</v>
      </c>
      <c r="G24" s="34"/>
    </row>
    <row r="25" spans="1:7" ht="72" customHeight="1">
      <c r="A25" s="372"/>
      <c r="B25" s="2" t="s">
        <v>468</v>
      </c>
      <c r="C25" s="37" t="s">
        <v>469</v>
      </c>
      <c r="D25" s="39" t="s">
        <v>2361</v>
      </c>
      <c r="E25" s="37" t="s">
        <v>2356</v>
      </c>
      <c r="F25" s="37" t="s">
        <v>471</v>
      </c>
      <c r="G25" s="34"/>
    </row>
    <row r="26" spans="1:7" ht="98.1" customHeight="1">
      <c r="A26" s="372"/>
      <c r="B26" s="360">
        <v>3</v>
      </c>
      <c r="C26" s="357" t="s">
        <v>72</v>
      </c>
      <c r="D26" s="378" t="s">
        <v>2362</v>
      </c>
      <c r="E26" s="369" t="s">
        <v>0</v>
      </c>
      <c r="F26" s="197" t="s">
        <v>66</v>
      </c>
      <c r="G26" s="34"/>
    </row>
    <row r="27" spans="1:7" ht="90" customHeight="1">
      <c r="A27" s="372"/>
      <c r="B27" s="361"/>
      <c r="C27" s="358"/>
      <c r="D27" s="379"/>
      <c r="E27" s="370"/>
      <c r="F27" s="198" t="s">
        <v>61</v>
      </c>
      <c r="G27" s="34"/>
    </row>
    <row r="28" spans="1:7" ht="19.350000000000001" customHeight="1">
      <c r="A28" s="372"/>
      <c r="B28" s="361"/>
      <c r="C28" s="358"/>
      <c r="D28" s="379"/>
      <c r="E28" s="370"/>
      <c r="F28" s="198" t="s">
        <v>62</v>
      </c>
      <c r="G28" s="34"/>
    </row>
    <row r="29" spans="1:7" ht="74.45" customHeight="1">
      <c r="A29" s="372"/>
      <c r="B29" s="361"/>
      <c r="C29" s="358"/>
      <c r="D29" s="379"/>
      <c r="E29" s="370"/>
      <c r="F29" s="198" t="s">
        <v>63</v>
      </c>
      <c r="G29" s="34"/>
    </row>
    <row r="30" spans="1:7" ht="62.45" customHeight="1">
      <c r="A30" s="372"/>
      <c r="B30" s="361"/>
      <c r="C30" s="358"/>
      <c r="D30" s="379"/>
      <c r="E30" s="370"/>
      <c r="F30" s="198" t="s">
        <v>64</v>
      </c>
      <c r="G30" s="34"/>
    </row>
    <row r="31" spans="1:7" ht="81" customHeight="1">
      <c r="A31" s="372"/>
      <c r="B31" s="361"/>
      <c r="C31" s="358"/>
      <c r="D31" s="379"/>
      <c r="E31" s="370"/>
      <c r="F31" s="198" t="s">
        <v>65</v>
      </c>
      <c r="G31" s="34"/>
    </row>
    <row r="32" spans="1:7" ht="48.75" customHeight="1">
      <c r="A32" s="372"/>
      <c r="B32" s="361"/>
      <c r="C32" s="358"/>
      <c r="D32" s="379"/>
      <c r="E32" s="370"/>
      <c r="F32" s="198" t="s">
        <v>68</v>
      </c>
      <c r="G32" s="34"/>
    </row>
    <row r="33" spans="1:7" ht="98.45" customHeight="1">
      <c r="A33" s="372"/>
      <c r="B33" s="361"/>
      <c r="C33" s="358"/>
      <c r="D33" s="379"/>
      <c r="E33" s="370"/>
      <c r="F33" s="198" t="s">
        <v>67</v>
      </c>
      <c r="G33" s="34"/>
    </row>
    <row r="34" spans="1:7" ht="89.1" customHeight="1">
      <c r="A34" s="372"/>
      <c r="B34" s="361"/>
      <c r="C34" s="358"/>
      <c r="D34" s="379"/>
      <c r="E34" s="370"/>
      <c r="F34" s="198" t="s">
        <v>69</v>
      </c>
      <c r="G34" s="34"/>
    </row>
    <row r="35" spans="1:7" ht="29.1" customHeight="1">
      <c r="A35" s="372"/>
      <c r="B35" s="361"/>
      <c r="C35" s="358"/>
      <c r="D35" s="379"/>
      <c r="E35" s="370"/>
      <c r="F35" s="198" t="s">
        <v>70</v>
      </c>
      <c r="G35" s="34"/>
    </row>
    <row r="36" spans="1:7" ht="126.75">
      <c r="A36" s="372"/>
      <c r="B36" s="362"/>
      <c r="C36" s="359"/>
      <c r="D36" s="380"/>
      <c r="E36" s="371"/>
      <c r="F36" s="199" t="s">
        <v>71</v>
      </c>
      <c r="G36" s="34"/>
    </row>
    <row r="37" spans="1:7" ht="112.5">
      <c r="A37" s="372"/>
      <c r="B37" s="171">
        <v>3.01</v>
      </c>
      <c r="C37" s="172" t="s">
        <v>72</v>
      </c>
      <c r="D37" s="39" t="s">
        <v>2363</v>
      </c>
      <c r="E37" s="200" t="s">
        <v>1351</v>
      </c>
      <c r="F37" s="201" t="s">
        <v>1457</v>
      </c>
      <c r="G37" s="34"/>
    </row>
    <row r="38" spans="1:7" ht="101.25">
      <c r="A38" s="372"/>
      <c r="B38" s="171">
        <v>3.02</v>
      </c>
      <c r="C38" s="172" t="s">
        <v>1384</v>
      </c>
      <c r="D38" s="39" t="s">
        <v>2364</v>
      </c>
      <c r="E38" s="200" t="s">
        <v>1399</v>
      </c>
      <c r="F38" s="201" t="s">
        <v>1458</v>
      </c>
      <c r="G38" s="34"/>
    </row>
    <row r="39" spans="1:7" ht="101.25">
      <c r="A39" s="372"/>
      <c r="B39" s="182">
        <v>4</v>
      </c>
      <c r="C39" s="181" t="s">
        <v>1554</v>
      </c>
      <c r="D39" s="39" t="s">
        <v>2365</v>
      </c>
      <c r="E39" s="37" t="s">
        <v>2307</v>
      </c>
      <c r="F39" s="37" t="s">
        <v>1555</v>
      </c>
      <c r="G39" s="34"/>
    </row>
    <row r="40" spans="1:7" ht="56.25">
      <c r="A40" s="372"/>
      <c r="B40" s="171">
        <v>4.01</v>
      </c>
      <c r="C40" s="181" t="s">
        <v>1554</v>
      </c>
      <c r="D40" s="39" t="s">
        <v>2367</v>
      </c>
      <c r="E40" s="37" t="s">
        <v>2321</v>
      </c>
      <c r="F40" s="37" t="s">
        <v>2326</v>
      </c>
      <c r="G40" s="34"/>
    </row>
    <row r="41" spans="1:7" ht="56.25">
      <c r="A41" s="372"/>
      <c r="B41" s="171" t="s">
        <v>2354</v>
      </c>
      <c r="C41" s="181" t="s">
        <v>1554</v>
      </c>
      <c r="D41" s="39" t="s">
        <v>2366</v>
      </c>
      <c r="E41" s="37" t="s">
        <v>2357</v>
      </c>
      <c r="F41" s="37" t="s">
        <v>2355</v>
      </c>
      <c r="G41" s="34"/>
    </row>
    <row r="42" spans="1:7" ht="56.25">
      <c r="A42" s="372"/>
      <c r="B42" s="171" t="s">
        <v>2399</v>
      </c>
      <c r="C42" s="181" t="s">
        <v>1554</v>
      </c>
      <c r="D42" s="39" t="s">
        <v>2406</v>
      </c>
      <c r="E42" s="37" t="s">
        <v>2356</v>
      </c>
      <c r="F42" s="37" t="s">
        <v>2400</v>
      </c>
      <c r="G42" s="34"/>
    </row>
    <row r="43" spans="1:7" ht="123.75">
      <c r="A43" s="372"/>
      <c r="B43" s="193">
        <v>4.0999999999999996</v>
      </c>
      <c r="C43" s="181" t="s">
        <v>2405</v>
      </c>
      <c r="D43" s="194">
        <v>42867</v>
      </c>
      <c r="E43" s="202" t="s">
        <v>2408</v>
      </c>
      <c r="F43" s="37" t="s">
        <v>2407</v>
      </c>
      <c r="G43" s="34"/>
    </row>
    <row r="44" spans="1:7" ht="78.75">
      <c r="A44" s="372"/>
      <c r="B44" s="193">
        <v>4.2</v>
      </c>
      <c r="C44" s="181" t="s">
        <v>2405</v>
      </c>
      <c r="D44" s="194">
        <v>42704</v>
      </c>
      <c r="E44" s="202" t="s">
        <v>2625</v>
      </c>
      <c r="F44" s="37" t="s">
        <v>2598</v>
      </c>
      <c r="G44" s="34"/>
    </row>
    <row r="45" spans="1:7" ht="157.5">
      <c r="A45" s="372"/>
      <c r="B45" s="243">
        <v>5</v>
      </c>
      <c r="C45" s="181" t="s">
        <v>2405</v>
      </c>
      <c r="D45" s="194">
        <v>42867</v>
      </c>
      <c r="E45" s="202" t="s">
        <v>13032</v>
      </c>
      <c r="F45" s="37" t="s">
        <v>12754</v>
      </c>
      <c r="G45" s="34"/>
    </row>
    <row r="46" spans="1:7" ht="45">
      <c r="A46" s="372"/>
      <c r="B46" s="193">
        <v>5.01</v>
      </c>
      <c r="C46" s="181" t="s">
        <v>2405</v>
      </c>
      <c r="D46" s="194">
        <v>42907</v>
      </c>
      <c r="E46" s="202" t="s">
        <v>13052</v>
      </c>
      <c r="F46" s="37" t="s">
        <v>12754</v>
      </c>
      <c r="G46" s="34"/>
    </row>
    <row r="47" spans="1:7" ht="67.5">
      <c r="A47" s="372"/>
      <c r="B47" s="193">
        <v>5.0999999999999996</v>
      </c>
      <c r="C47" s="181" t="s">
        <v>2405</v>
      </c>
      <c r="D47" s="194">
        <v>43070</v>
      </c>
      <c r="E47" s="202" t="s">
        <v>13247</v>
      </c>
      <c r="F47" s="37" t="s">
        <v>13248</v>
      </c>
      <c r="G47" s="34"/>
    </row>
    <row r="48" spans="1:7" ht="56.25">
      <c r="A48" s="372"/>
      <c r="B48" s="193">
        <v>5.1100000000000003</v>
      </c>
      <c r="C48" s="181" t="s">
        <v>13489</v>
      </c>
      <c r="D48" s="194">
        <v>43217</v>
      </c>
      <c r="E48" s="202" t="s">
        <v>13617</v>
      </c>
      <c r="F48" s="37" t="s">
        <v>13523</v>
      </c>
      <c r="G48" s="34"/>
    </row>
    <row r="49" spans="1:7" ht="56.25">
      <c r="A49" s="372"/>
      <c r="B49" s="193">
        <v>5.12</v>
      </c>
      <c r="C49" s="181" t="s">
        <v>13489</v>
      </c>
      <c r="D49" s="194">
        <v>43581</v>
      </c>
      <c r="E49" s="202" t="s">
        <v>13617</v>
      </c>
      <c r="F49" s="37" t="s">
        <v>14191</v>
      </c>
      <c r="G49" s="34"/>
    </row>
    <row r="50" spans="1:7" ht="78.75">
      <c r="A50" s="372"/>
      <c r="B50" s="243">
        <v>6</v>
      </c>
      <c r="C50" s="181" t="s">
        <v>13489</v>
      </c>
      <c r="D50" s="194">
        <v>43964</v>
      </c>
      <c r="E50" s="202" t="s">
        <v>14433</v>
      </c>
      <c r="F50" s="37" t="s">
        <v>14204</v>
      </c>
      <c r="G50" s="34"/>
    </row>
    <row r="51" spans="1:7" ht="45">
      <c r="A51" s="372"/>
      <c r="B51" s="193">
        <v>6.01</v>
      </c>
      <c r="C51" s="181" t="s">
        <v>13489</v>
      </c>
      <c r="D51" s="194">
        <v>43970</v>
      </c>
      <c r="E51" s="202" t="s">
        <v>15503</v>
      </c>
      <c r="F51" s="202" t="s">
        <v>14204</v>
      </c>
      <c r="G51" s="34"/>
    </row>
    <row r="52" spans="1:7" ht="13.5" thickBot="1">
      <c r="A52" s="373"/>
      <c r="B52" s="374" t="str">
        <f ca="1">OFFSET(L!$C$1,MATCH("General"&amp;"Cpy",L!$A:$A,0)-1,SL,,)</f>
        <v>© 2020 Responsible Minerals Initiative. All rights reserved.</v>
      </c>
      <c r="C52" s="374"/>
      <c r="D52" s="374"/>
      <c r="E52" s="374"/>
      <c r="F52" s="374"/>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96"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6"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6"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60">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0">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6"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15" activePane="bottomLeft" state="frozen"/>
      <selection activeCell="A4" sqref="A4"/>
      <selection pane="bottomLeft" activeCell="C18" sqref="C18"/>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1"/>
      <c r="B1" s="382"/>
      <c r="C1" s="382"/>
      <c r="D1" s="383"/>
    </row>
    <row r="2" spans="1:5" ht="71.25" customHeight="1">
      <c r="A2" s="87"/>
      <c r="B2" s="167" t="str">
        <f ca="1">OFFSET(L!$C$1,MATCH("Definitions"&amp;ADDRESS(ROW(),COLUMN(),4),L!$A:$A,0)-1,SL,,)</f>
        <v>ITEM</v>
      </c>
      <c r="C2" s="167" t="str">
        <f ca="1">OFFSET(L!$C$1,MATCH("Definitions"&amp;ADDRESS(ROW(),COLUMN(),4),L!$A:$A,0)-1,SL,,)</f>
        <v>DEFINITION</v>
      </c>
      <c r="D2" s="385"/>
      <c r="E2" s="127"/>
    </row>
    <row r="3" spans="1:5" ht="63.95" customHeight="1">
      <c r="A3" s="87"/>
      <c r="B3" s="74" t="str">
        <f ca="1">OFFSET(L!$C$1,MATCH("Definitions"&amp;ADDRESS(ROW(),COLUMN(),4),L!$A:$A,0)-1,SL,,)</f>
        <v>3TG</v>
      </c>
      <c r="C3" s="74" t="str">
        <f ca="1">OFFSET(L!$C$1,MATCH("Definitions"&amp;ADDRESS(ROW(),COLUMN(),4),L!$A:$A,0)-1,SL,,)</f>
        <v>Tantalum, tin, tungsten, gold</v>
      </c>
      <c r="D3" s="385"/>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5"/>
      <c r="E9" s="128" t="s">
        <v>1336</v>
      </c>
    </row>
    <row r="10" spans="1:5" ht="45">
      <c r="A10" s="87"/>
      <c r="B10" s="74" t="str">
        <f ca="1">OFFSET(L!$C$1,MATCH("Definitions"&amp;ADDRESS(ROW(),COLUMN(),4),L!$A:$A,0)-1,SL,,)</f>
        <v>DRC</v>
      </c>
      <c r="C10" s="74" t="str">
        <f ca="1">OFFSET(L!$C$1,MATCH("Definitions"&amp;ADDRESS(ROW(),COLUMN(),4),L!$A:$A,0)-1,SL,,)</f>
        <v>Democratic Republic of Congo</v>
      </c>
      <c r="D10" s="385"/>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5"/>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5"/>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28" t="s">
        <v>1335</v>
      </c>
    </row>
    <row r="15" spans="1:5" ht="120">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85"/>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5"/>
      <c r="E20" s="128"/>
    </row>
    <row r="21" spans="1:5" ht="15">
      <c r="A21" s="87"/>
      <c r="B21" s="74" t="str">
        <f ca="1">OFFSET(L!$C$1,MATCH("Definitions"&amp;ADDRESS(ROW(),COLUMN(),4),L!$A:$A,0)-1,SL,,)</f>
        <v>RBA</v>
      </c>
      <c r="C21" s="74" t="str">
        <f ca="1">OFFSET(L!$C$1,MATCH("Definitions"&amp;ADDRESS(ROW(),COLUMN(),4),L!$A:$A,0)-1,SL,,)</f>
        <v>Responsible Business Alliance (www.responsiblebusiness.org)</v>
      </c>
      <c r="D21" s="38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28"/>
    </row>
    <row r="25" spans="1:5" ht="135">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5"/>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85"/>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5"/>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5"/>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5"/>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5"/>
      <c r="E31" s="128"/>
    </row>
    <row r="32" spans="1:5" ht="15">
      <c r="A32" s="87"/>
      <c r="B32" s="384" t="str">
        <f ca="1">OFFSET(L!$C$1,MATCH("General"&amp;"Cpy",L!$A:$A,0)-1,SL,,)</f>
        <v>© 2020 Responsible Minerals Initiative. All rights reserved.</v>
      </c>
      <c r="C32" s="384"/>
      <c r="D32" s="385"/>
      <c r="E32" s="128"/>
    </row>
    <row r="33" spans="1:4" ht="13.5" thickBot="1">
      <c r="A33" s="88"/>
      <c r="B33" s="185"/>
      <c r="C33" s="185"/>
      <c r="D33" s="386"/>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6"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4" zoomScale="85" zoomScaleNormal="85"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8"/>
      <c r="B1" s="419"/>
      <c r="C1" s="419"/>
      <c r="D1" s="419"/>
      <c r="E1" s="419"/>
      <c r="F1" s="419"/>
      <c r="G1" s="419"/>
      <c r="H1" s="419"/>
      <c r="I1" s="419"/>
      <c r="J1" s="419"/>
      <c r="K1" s="42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21" t="str">
        <f ca="1">OFFSET(L!$C$1,MATCH("Declaration"&amp;ADDRESS(ROW(),COLUMN(),4),L!$A:$A,0)-1,SL,,)</f>
        <v>Conflict Minerals Reporting Template (CMRT)</v>
      </c>
      <c r="E2" s="422"/>
      <c r="F2" s="422"/>
      <c r="G2" s="422"/>
      <c r="H2" s="422"/>
      <c r="I2" s="422"/>
      <c r="J2" s="42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8"/>
      <c r="G3" s="428"/>
      <c r="H3" s="428"/>
      <c r="I3" s="184"/>
      <c r="J3" s="168" t="s">
        <v>15505</v>
      </c>
      <c r="K3" s="47"/>
      <c r="L3" s="139"/>
      <c r="M3" s="130"/>
      <c r="N3" s="130"/>
      <c r="O3" s="131"/>
      <c r="P3" s="144">
        <f>MATCH($D$3,LN,0)</f>
        <v>1</v>
      </c>
    </row>
    <row r="4" spans="1:34" ht="15.7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9" t="str">
        <f ca="1">OFFSET(L!$C$1,MATCH("Declaration"&amp;ADDRESS(ROW(),COLUMN(),4),L!$A:$A,0)-1,SL,,)</f>
        <v>Link to Terms &amp; Conditions</v>
      </c>
      <c r="J4" s="429"/>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33" t="str">
        <f ca="1">OFFSET(L!$C$1,MATCH("Declaration"&amp;ADDRESS(ROW(),COLUMN(),4),L!$A:$A,0)-1,SL,,)</f>
        <v>Company Information</v>
      </c>
      <c r="C7" s="433"/>
      <c r="D7" s="433"/>
      <c r="E7" s="433"/>
      <c r="F7" s="433"/>
      <c r="G7" s="433"/>
      <c r="H7" s="433"/>
      <c r="I7" s="433"/>
      <c r="J7" s="433"/>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1" t="s">
        <v>15706</v>
      </c>
      <c r="E8" s="412"/>
      <c r="F8" s="412"/>
      <c r="G8" s="412"/>
      <c r="H8" s="412"/>
      <c r="I8" s="412"/>
      <c r="J8" s="413"/>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0" t="s">
        <v>506</v>
      </c>
      <c r="E9" s="431"/>
      <c r="F9" s="431"/>
      <c r="G9" s="432"/>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34" t="str">
        <f ca="1">OFFSET(L!$C$1,MATCH("Declaration"&amp;ADDRESS(ROW(),COLUMN(),4)&amp;LEFT($D$9,1),L!$A:$A,0)-1,SL,,)</f>
        <v>Description of Scope: (*)</v>
      </c>
      <c r="C10" s="151"/>
      <c r="D10" s="425" t="s">
        <v>15707</v>
      </c>
      <c r="E10" s="426"/>
      <c r="F10" s="426"/>
      <c r="G10" s="426"/>
      <c r="H10" s="426"/>
      <c r="I10" s="426"/>
      <c r="J10" s="427"/>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5"/>
      <c r="C11" s="151"/>
      <c r="D11" s="402" t="str">
        <f ca="1">IF(D9=Q9,OFFSET(L!$C$1,MATCH("Declaration"&amp;ADDRESS(ROW(),COLUMN(),4),L!$A:$A,0)-1,SL,,),"")</f>
        <v/>
      </c>
      <c r="E11" s="403"/>
      <c r="F11" s="403"/>
      <c r="G11" s="403"/>
      <c r="H11" s="403"/>
      <c r="I11" s="403"/>
      <c r="J11" s="40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1" t="s">
        <v>15708</v>
      </c>
      <c r="E12" s="412"/>
      <c r="F12" s="412"/>
      <c r="G12" s="412"/>
      <c r="H12" s="412"/>
      <c r="I12" s="412"/>
      <c r="J12" s="413"/>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1" t="s">
        <v>15709</v>
      </c>
      <c r="E13" s="412"/>
      <c r="F13" s="412"/>
      <c r="G13" s="412"/>
      <c r="H13" s="412"/>
      <c r="I13" s="412"/>
      <c r="J13" s="413"/>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1" t="s">
        <v>15710</v>
      </c>
      <c r="E14" s="412"/>
      <c r="F14" s="412"/>
      <c r="G14" s="412"/>
      <c r="H14" s="412"/>
      <c r="I14" s="412"/>
      <c r="J14" s="413"/>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1" t="s">
        <v>15711</v>
      </c>
      <c r="E15" s="412"/>
      <c r="F15" s="412"/>
      <c r="G15" s="412"/>
      <c r="H15" s="412"/>
      <c r="I15" s="412"/>
      <c r="J15" s="413"/>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6" t="s">
        <v>15712</v>
      </c>
      <c r="E16" s="437"/>
      <c r="F16" s="437"/>
      <c r="G16" s="437"/>
      <c r="H16" s="437"/>
      <c r="I16" s="437"/>
      <c r="J16" s="438"/>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1" t="s">
        <v>15713</v>
      </c>
      <c r="E17" s="412"/>
      <c r="F17" s="412"/>
      <c r="G17" s="412"/>
      <c r="H17" s="412"/>
      <c r="I17" s="412"/>
      <c r="J17" s="413"/>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1" t="s">
        <v>15714</v>
      </c>
      <c r="E18" s="412"/>
      <c r="F18" s="412"/>
      <c r="G18" s="412"/>
      <c r="H18" s="412"/>
      <c r="I18" s="412"/>
      <c r="J18" s="413"/>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1" t="s">
        <v>15715</v>
      </c>
      <c r="E19" s="412"/>
      <c r="F19" s="412"/>
      <c r="G19" s="412"/>
      <c r="H19" s="412"/>
      <c r="I19" s="412"/>
      <c r="J19" s="413"/>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9" t="s">
        <v>15716</v>
      </c>
      <c r="E20" s="440"/>
      <c r="F20" s="440"/>
      <c r="G20" s="440"/>
      <c r="H20" s="440"/>
      <c r="I20" s="440"/>
      <c r="J20" s="44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11" t="s">
        <v>15717</v>
      </c>
      <c r="E21" s="412"/>
      <c r="F21" s="412"/>
      <c r="G21" s="412"/>
      <c r="H21" s="412"/>
      <c r="I21" s="412"/>
      <c r="J21" s="41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2">
        <v>43987</v>
      </c>
      <c r="E22" s="443"/>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4"/>
      <c r="E23" s="41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4" t="str">
        <f ca="1">OFFSET(L!$C$1,MATCH("Declaration"&amp;ADDRESS(ROW(),COLUMN(),4),L!$A:$A,0)-1,SL,,)</f>
        <v>Answer the following questions 1 - 8 based on the declaration scope indicated above</v>
      </c>
      <c r="C24" s="444"/>
      <c r="D24" s="444"/>
      <c r="E24" s="444"/>
      <c r="F24" s="444"/>
      <c r="G24" s="444"/>
      <c r="H24" s="444"/>
      <c r="I24" s="444"/>
      <c r="J24" s="44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01" t="str">
        <f ca="1">OFFSET(L!$C$1,MATCH("Declaration"&amp;ADDRESS(ROW(),COLUMN(),4),L!$A:$A,0)-1,SL,,)</f>
        <v>Answer</v>
      </c>
      <c r="E25" s="401"/>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7" t="s">
        <v>499</v>
      </c>
      <c r="E26" s="388"/>
      <c r="F26" s="15"/>
      <c r="G26" s="389"/>
      <c r="H26" s="390"/>
      <c r="I26" s="390"/>
      <c r="J26" s="391"/>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7" t="s">
        <v>498</v>
      </c>
      <c r="E27" s="388"/>
      <c r="F27" s="15"/>
      <c r="G27" s="389"/>
      <c r="H27" s="390"/>
      <c r="I27" s="390"/>
      <c r="J27" s="39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7" t="s">
        <v>498</v>
      </c>
      <c r="E28" s="388"/>
      <c r="F28" s="15"/>
      <c r="G28" s="389"/>
      <c r="H28" s="390"/>
      <c r="I28" s="390"/>
      <c r="J28" s="39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7" t="s">
        <v>499</v>
      </c>
      <c r="E29" s="388"/>
      <c r="F29" s="15"/>
      <c r="G29" s="389"/>
      <c r="H29" s="390"/>
      <c r="I29" s="390"/>
      <c r="J29" s="391"/>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5"/>
      <c r="E32" s="406"/>
      <c r="F32" s="58"/>
      <c r="G32" s="389"/>
      <c r="H32" s="390"/>
      <c r="I32" s="390"/>
      <c r="J32" s="39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7" t="s">
        <v>498</v>
      </c>
      <c r="E33" s="388"/>
      <c r="F33" s="58"/>
      <c r="G33" s="389"/>
      <c r="H33" s="390"/>
      <c r="I33" s="390"/>
      <c r="J33" s="39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7" t="s">
        <v>498</v>
      </c>
      <c r="E34" s="388"/>
      <c r="F34" s="58"/>
      <c r="G34" s="389"/>
      <c r="H34" s="390"/>
      <c r="I34" s="390"/>
      <c r="J34" s="39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7"/>
      <c r="E35" s="388"/>
      <c r="F35" s="58"/>
      <c r="G35" s="389"/>
      <c r="H35" s="390"/>
      <c r="I35" s="390"/>
      <c r="J35" s="39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0"/>
      <c r="I37" s="410"/>
      <c r="J37" s="410"/>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7"/>
      <c r="E38" s="388"/>
      <c r="F38" s="58"/>
      <c r="G38" s="389"/>
      <c r="H38" s="390"/>
      <c r="I38" s="390"/>
      <c r="J38" s="391"/>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7" t="s">
        <v>499</v>
      </c>
      <c r="E39" s="388"/>
      <c r="F39" s="58"/>
      <c r="G39" s="389"/>
      <c r="H39" s="390"/>
      <c r="I39" s="390"/>
      <c r="J39" s="39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7" t="s">
        <v>499</v>
      </c>
      <c r="E40" s="388"/>
      <c r="F40" s="58"/>
      <c r="G40" s="389"/>
      <c r="H40" s="390"/>
      <c r="I40" s="390"/>
      <c r="J40" s="39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7"/>
      <c r="E41" s="388"/>
      <c r="F41" s="58"/>
      <c r="G41" s="389"/>
      <c r="H41" s="390"/>
      <c r="I41" s="390"/>
      <c r="J41" s="391"/>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407" t="str">
        <f ca="1">D25</f>
        <v>Answer</v>
      </c>
      <c r="E43" s="407"/>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7"/>
      <c r="E44" s="388"/>
      <c r="F44" s="58"/>
      <c r="G44" s="389"/>
      <c r="H44" s="390"/>
      <c r="I44" s="390"/>
      <c r="J44" s="391"/>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7" t="s">
        <v>499</v>
      </c>
      <c r="E45" s="388"/>
      <c r="F45" s="58"/>
      <c r="G45" s="389"/>
      <c r="H45" s="390"/>
      <c r="I45" s="390"/>
      <c r="J45" s="39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7" t="s">
        <v>499</v>
      </c>
      <c r="E46" s="388"/>
      <c r="F46" s="58"/>
      <c r="G46" s="389"/>
      <c r="H46" s="390"/>
      <c r="I46" s="390"/>
      <c r="J46" s="39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7"/>
      <c r="E47" s="388"/>
      <c r="F47" s="58"/>
      <c r="G47" s="389"/>
      <c r="H47" s="390"/>
      <c r="I47" s="390"/>
      <c r="J47" s="391"/>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407" t="str">
        <f ca="1">D25</f>
        <v>Answer</v>
      </c>
      <c r="E49" s="407"/>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7"/>
      <c r="E50" s="388"/>
      <c r="F50" s="58"/>
      <c r="G50" s="389"/>
      <c r="H50" s="390"/>
      <c r="I50" s="390"/>
      <c r="J50" s="39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7" t="s">
        <v>499</v>
      </c>
      <c r="E51" s="388"/>
      <c r="F51" s="58"/>
      <c r="G51" s="389"/>
      <c r="H51" s="390"/>
      <c r="I51" s="390"/>
      <c r="J51" s="39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7" t="s">
        <v>499</v>
      </c>
      <c r="E52" s="388"/>
      <c r="F52" s="58"/>
      <c r="G52" s="389"/>
      <c r="H52" s="390"/>
      <c r="I52" s="390"/>
      <c r="J52" s="39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7"/>
      <c r="E53" s="388"/>
      <c r="F53" s="58"/>
      <c r="G53" s="389"/>
      <c r="H53" s="390"/>
      <c r="I53" s="390"/>
      <c r="J53" s="39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407" t="str">
        <f ca="1">D25</f>
        <v>Answer</v>
      </c>
      <c r="E55" s="407"/>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8"/>
      <c r="E56" s="409"/>
      <c r="F56" s="58"/>
      <c r="G56" s="389"/>
      <c r="H56" s="390"/>
      <c r="I56" s="390"/>
      <c r="J56" s="39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8">
        <v>1</v>
      </c>
      <c r="E57" s="409"/>
      <c r="F57" s="58"/>
      <c r="G57" s="389"/>
      <c r="H57" s="390"/>
      <c r="I57" s="390"/>
      <c r="J57" s="39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8">
        <v>1</v>
      </c>
      <c r="E58" s="409"/>
      <c r="F58" s="58"/>
      <c r="G58" s="389"/>
      <c r="H58" s="390"/>
      <c r="I58" s="390"/>
      <c r="J58" s="39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8"/>
      <c r="E59" s="409"/>
      <c r="F59" s="58"/>
      <c r="G59" s="389"/>
      <c r="H59" s="390"/>
      <c r="I59" s="390"/>
      <c r="J59" s="39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407" t="str">
        <f ca="1">D25</f>
        <v>Answer</v>
      </c>
      <c r="E61" s="407"/>
      <c r="F61" s="21"/>
      <c r="G61" s="55" t="str">
        <f ca="1">G25</f>
        <v>Comments</v>
      </c>
      <c r="H61" s="400"/>
      <c r="I61" s="400"/>
      <c r="J61" s="400"/>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5"/>
      <c r="E62" s="406"/>
      <c r="F62" s="58"/>
      <c r="G62" s="389"/>
      <c r="H62" s="390"/>
      <c r="I62" s="390"/>
      <c r="J62" s="39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7" t="s">
        <v>498</v>
      </c>
      <c r="E63" s="388"/>
      <c r="F63" s="58"/>
      <c r="G63" s="389"/>
      <c r="H63" s="390"/>
      <c r="I63" s="390"/>
      <c r="J63" s="39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7" t="s">
        <v>498</v>
      </c>
      <c r="E64" s="388"/>
      <c r="F64" s="58"/>
      <c r="G64" s="389"/>
      <c r="H64" s="390"/>
      <c r="I64" s="390"/>
      <c r="J64" s="39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7"/>
      <c r="E65" s="388"/>
      <c r="F65" s="58"/>
      <c r="G65" s="389"/>
      <c r="H65" s="390"/>
      <c r="I65" s="390"/>
      <c r="J65" s="39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407" t="str">
        <f ca="1">D25</f>
        <v>Answer</v>
      </c>
      <c r="E67" s="407"/>
      <c r="F67" s="21"/>
      <c r="G67" s="55" t="str">
        <f ca="1">G25</f>
        <v>Comments</v>
      </c>
      <c r="H67" s="400" t="str">
        <f>IF(Q75="(*)","Click here to enter smelter names","")</f>
        <v/>
      </c>
      <c r="I67" s="400"/>
      <c r="J67" s="400"/>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7"/>
      <c r="E68" s="388"/>
      <c r="F68" s="59"/>
      <c r="G68" s="389"/>
      <c r="H68" s="390"/>
      <c r="I68" s="390"/>
      <c r="J68" s="39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7" t="s">
        <v>498</v>
      </c>
      <c r="E69" s="388"/>
      <c r="F69" s="59"/>
      <c r="G69" s="389"/>
      <c r="H69" s="390"/>
      <c r="I69" s="390"/>
      <c r="J69" s="39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7" t="s">
        <v>498</v>
      </c>
      <c r="E70" s="388"/>
      <c r="F70" s="59"/>
      <c r="G70" s="389"/>
      <c r="H70" s="390"/>
      <c r="I70" s="390"/>
      <c r="J70" s="39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7"/>
      <c r="E71" s="388"/>
      <c r="F71" s="61"/>
      <c r="G71" s="389"/>
      <c r="H71" s="390"/>
      <c r="I71" s="390"/>
      <c r="J71" s="39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2" t="str">
        <f ca="1">OFFSET(L!$C$1,MATCH("Declaration"&amp;ADDRESS(ROW(),COLUMN(),4),L!$A:$A,0)-1,SL,,)</f>
        <v>Answer the Following Questions at a Company Level</v>
      </c>
      <c r="C73" s="392"/>
      <c r="D73" s="392"/>
      <c r="E73" s="392"/>
      <c r="F73" s="392"/>
      <c r="G73" s="392"/>
      <c r="H73" s="392"/>
      <c r="I73" s="392"/>
      <c r="J73" s="392"/>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1" t="str">
        <f ca="1">D25</f>
        <v>Answer</v>
      </c>
      <c r="E74" s="401"/>
      <c r="F74" s="64"/>
      <c r="G74" s="401" t="str">
        <f ca="1">G25</f>
        <v>Comments</v>
      </c>
      <c r="H74" s="401" t="e">
        <f>HLOOKUP(SL,LT,$O74,0)</f>
        <v>#NAME?</v>
      </c>
      <c r="I74" s="40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7" t="s">
        <v>498</v>
      </c>
      <c r="E75" s="388"/>
      <c r="F75" s="68"/>
      <c r="G75" s="389"/>
      <c r="H75" s="390"/>
      <c r="I75" s="390"/>
      <c r="J75" s="391"/>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8"/>
      <c r="H76" s="398"/>
      <c r="I76" s="398"/>
      <c r="J76" s="39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7" t="s">
        <v>498</v>
      </c>
      <c r="E77" s="388"/>
      <c r="F77" s="68"/>
      <c r="G77" s="415" t="s">
        <v>15718</v>
      </c>
      <c r="H77" s="416"/>
      <c r="I77" s="416"/>
      <c r="J77" s="417"/>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7" t="s">
        <v>498</v>
      </c>
      <c r="E79" s="388"/>
      <c r="F79" s="68"/>
      <c r="G79" s="389"/>
      <c r="H79" s="390"/>
      <c r="I79" s="390"/>
      <c r="J79" s="391"/>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7" t="s">
        <v>498</v>
      </c>
      <c r="E81" s="388"/>
      <c r="F81" s="68"/>
      <c r="G81" s="389"/>
      <c r="H81" s="390"/>
      <c r="I81" s="390"/>
      <c r="J81" s="391"/>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7" t="s">
        <v>15442</v>
      </c>
      <c r="E83" s="388"/>
      <c r="F83" s="68"/>
      <c r="G83" s="389"/>
      <c r="H83" s="390"/>
      <c r="I83" s="390"/>
      <c r="J83" s="391"/>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6" t="s">
        <v>498</v>
      </c>
      <c r="E85" s="397"/>
      <c r="F85" s="68"/>
      <c r="G85" s="389"/>
      <c r="H85" s="390"/>
      <c r="I85" s="390"/>
      <c r="J85" s="391"/>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8"/>
      <c r="H86" s="398"/>
      <c r="I86" s="398"/>
      <c r="J86" s="39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7" t="s">
        <v>498</v>
      </c>
      <c r="E87" s="388"/>
      <c r="F87" s="68"/>
      <c r="G87" s="389"/>
      <c r="H87" s="390"/>
      <c r="I87" s="390"/>
      <c r="J87" s="391"/>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9"/>
      <c r="H88" s="399"/>
      <c r="I88" s="399"/>
      <c r="J88" s="399"/>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7" t="s">
        <v>14352</v>
      </c>
      <c r="E89" s="388"/>
      <c r="F89" s="68"/>
      <c r="G89" s="389"/>
      <c r="H89" s="390"/>
      <c r="I89" s="390"/>
      <c r="J89" s="391"/>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5" t="str">
        <f>IF(OR($D$8="",$I$3=""),"","Click here to check required fields completion")</f>
        <v/>
      </c>
      <c r="C90" s="395"/>
      <c r="D90" s="395"/>
      <c r="E90" s="395"/>
      <c r="F90" s="395"/>
      <c r="G90" s="395"/>
      <c r="H90" s="395"/>
      <c r="I90" s="395"/>
      <c r="J90" s="395"/>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3" t="str">
        <f ca="1">OFFSET(L!$C$1,MATCH("General"&amp;"Cpy",L!$A:$A,0)-1,SL,,)</f>
        <v>© 2020 Responsible Minerals Initiative. All rights reserved.</v>
      </c>
      <c r="B91" s="394"/>
      <c r="C91" s="394"/>
      <c r="D91" s="394"/>
      <c r="E91" s="394"/>
      <c r="F91" s="394"/>
      <c r="G91" s="394"/>
      <c r="H91" s="394"/>
      <c r="I91" s="394"/>
      <c r="J91" s="394"/>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phoneticPr fontId="96" type="noConversion"/>
  <conditionalFormatting sqref="D75:E75 D77:E77 D79:E79 D81:E81 D85:E85 D87:E87 D89:E89 D83">
    <cfRule type="expression" dxfId="105" priority="73" stopIfTrue="1">
      <formula>AND(OR($D$26="No",AND($D$26="Yes",$D$32="No")),OR($D$27="No",AND($D$27="Yes",$D$33="No")),OR($D$28="No",AND($D$28="Yes",$D$34="No")),OR($D$29="No",AND($D$29="Yes",$D$35="No")))</formula>
    </cfRule>
    <cfRule type="expression" dxfId="104" priority="74" stopIfTrue="1">
      <formula>IF(D75="",TRUE)</formula>
    </cfRule>
  </conditionalFormatting>
  <conditionalFormatting sqref="D26:E26">
    <cfRule type="expression" dxfId="103" priority="125" stopIfTrue="1">
      <formula>IF($D$26="",TRUE)</formula>
    </cfRule>
  </conditionalFormatting>
  <conditionalFormatting sqref="D27:E27">
    <cfRule type="expression" dxfId="102" priority="132" stopIfTrue="1">
      <formula>IF($D$27="",TRUE)</formula>
    </cfRule>
  </conditionalFormatting>
  <conditionalFormatting sqref="D28:E28">
    <cfRule type="expression" dxfId="101" priority="133" stopIfTrue="1">
      <formula>IF($D$28="",TRUE)</formula>
    </cfRule>
  </conditionalFormatting>
  <conditionalFormatting sqref="D29:E29">
    <cfRule type="expression" dxfId="100" priority="134" stopIfTrue="1">
      <formula>IF($D$29="",TRUE)</formula>
    </cfRule>
  </conditionalFormatting>
  <conditionalFormatting sqref="D9:G9">
    <cfRule type="expression" dxfId="99" priority="140" stopIfTrue="1">
      <formula>IF($D$9="",TRUE)</formula>
    </cfRule>
  </conditionalFormatting>
  <conditionalFormatting sqref="D22:E22">
    <cfRule type="expression" dxfId="98" priority="147" stopIfTrue="1">
      <formula>IF($D$22="",TRUE)</formula>
    </cfRule>
  </conditionalFormatting>
  <conditionalFormatting sqref="D34:E34 D40:E40 D52:E52 D58:E58 D64:E64 D70:E70">
    <cfRule type="expression" dxfId="97" priority="37" stopIfTrue="1">
      <formula>$P$28=""</formula>
    </cfRule>
  </conditionalFormatting>
  <conditionalFormatting sqref="D35:E35 D41:E41 D53:E53 D59:E59 D65:E65 D71:E71">
    <cfRule type="expression" dxfId="96" priority="152" stopIfTrue="1">
      <formula>$P$29=""</formula>
    </cfRule>
  </conditionalFormatting>
  <conditionalFormatting sqref="D32:E32">
    <cfRule type="expression" dxfId="95" priority="130" stopIfTrue="1">
      <formula>$P$26=""</formula>
    </cfRule>
  </conditionalFormatting>
  <conditionalFormatting sqref="D32:E32">
    <cfRule type="expression" dxfId="94" priority="43" stopIfTrue="1">
      <formula>IF(AND(OR($D$26="Yes",$D$26=""),$D$32=""),1,0)</formula>
    </cfRule>
  </conditionalFormatting>
  <conditionalFormatting sqref="D38 D50 D56 D62 D68">
    <cfRule type="expression" dxfId="93" priority="39" stopIfTrue="1">
      <formula>$P$32=""</formula>
    </cfRule>
  </conditionalFormatting>
  <conditionalFormatting sqref="D39:E39 D51 D57 D63 D69">
    <cfRule type="expression" dxfId="92" priority="38" stopIfTrue="1">
      <formula>$P$33=""</formula>
    </cfRule>
  </conditionalFormatting>
  <conditionalFormatting sqref="D40 D52 D58 D64 D70">
    <cfRule type="expression" dxfId="91" priority="28" stopIfTrue="1">
      <formula>$P$34=""</formula>
    </cfRule>
    <cfRule type="expression" dxfId="90" priority="150" stopIfTrue="1">
      <formula>IF(AND(OR($D$28="Yes",$D$28=""),D40=""),1,0)</formula>
    </cfRule>
  </conditionalFormatting>
  <conditionalFormatting sqref="D41 D53 D59 D65 D71">
    <cfRule type="expression" dxfId="89" priority="36" stopIfTrue="1">
      <formula>$P$35=""</formula>
    </cfRule>
  </conditionalFormatting>
  <conditionalFormatting sqref="D38:E38 D50:E50 D56:E56 D62:E62 D68:E68">
    <cfRule type="expression" dxfId="88" priority="41" stopIfTrue="1">
      <formula>$P$26=""</formula>
    </cfRule>
    <cfRule type="expression" dxfId="87" priority="42" stopIfTrue="1">
      <formula>IF(AND(OR($D$26="Yes",$D$26=""),D38=""),1,0)</formula>
    </cfRule>
  </conditionalFormatting>
  <conditionalFormatting sqref="G85:J85">
    <cfRule type="expression" dxfId="86" priority="35" stopIfTrue="1">
      <formula>IF(AND($D$85="Yes, using other format (describe)",$G$85=""),TRUE)</formula>
    </cfRule>
  </conditionalFormatting>
  <conditionalFormatting sqref="D39:E39 D51:E51 D57:E57 D63:E63 D69:E69">
    <cfRule type="expression" dxfId="85" priority="148" stopIfTrue="1">
      <formula>$P$39=""</formula>
    </cfRule>
    <cfRule type="expression" dxfId="84" priority="149" stopIfTrue="1">
      <formula>IF(AND(OR($D$27="Yes",$D$27=""),D39=""),1,0)</formula>
    </cfRule>
  </conditionalFormatting>
  <conditionalFormatting sqref="D33:E33">
    <cfRule type="expression" dxfId="83" priority="30" stopIfTrue="1">
      <formula>IF(AND(OR($D$27="Yes",$D$27=""),$D$33=""),1,0)</formula>
    </cfRule>
    <cfRule type="expression" dxfId="82" priority="31" stopIfTrue="1">
      <formula>$P$27=""</formula>
    </cfRule>
  </conditionalFormatting>
  <conditionalFormatting sqref="D34:E34">
    <cfRule type="expression" dxfId="81" priority="151" stopIfTrue="1">
      <formula>IF(AND(OR($D$28="Yes",$D$28=""),$D$34=""),1,0)</formula>
    </cfRule>
  </conditionalFormatting>
  <conditionalFormatting sqref="D41:E41 D53:E53 D59:E59 D65:E65 D71:E71">
    <cfRule type="expression" dxfId="80" priority="153" stopIfTrue="1">
      <formula>IF(AND(OR($D$29="Yes",$D$29=""),D41=""),1,0)</formula>
    </cfRule>
  </conditionalFormatting>
  <conditionalFormatting sqref="D35:E35">
    <cfRule type="expression" dxfId="79" priority="27" stopIfTrue="1">
      <formula>IF(AND(OR($D$29="Yes",$D$29=""),$D$35=""),1,0)</formula>
    </cfRule>
  </conditionalFormatting>
  <conditionalFormatting sqref="D46:E46">
    <cfRule type="expression" dxfId="78" priority="13" stopIfTrue="1">
      <formula>$P$28=""</formula>
    </cfRule>
  </conditionalFormatting>
  <conditionalFormatting sqref="D47:E47">
    <cfRule type="expression" dxfId="77" priority="21" stopIfTrue="1">
      <formula>$P$29=""</formula>
    </cfRule>
  </conditionalFormatting>
  <conditionalFormatting sqref="D44">
    <cfRule type="expression" dxfId="76" priority="15" stopIfTrue="1">
      <formula>$P$32=""</formula>
    </cfRule>
  </conditionalFormatting>
  <conditionalFormatting sqref="D45">
    <cfRule type="expression" dxfId="75" priority="14" stopIfTrue="1">
      <formula>$P$33=""</formula>
    </cfRule>
  </conditionalFormatting>
  <conditionalFormatting sqref="D46">
    <cfRule type="expression" dxfId="74" priority="11" stopIfTrue="1">
      <formula>$P$34=""</formula>
    </cfRule>
    <cfRule type="expression" dxfId="73" priority="20" stopIfTrue="1">
      <formula>IF(AND(OR($D$28="Yes",$D$28=""),D46=""),1,0)</formula>
    </cfRule>
  </conditionalFormatting>
  <conditionalFormatting sqref="D47">
    <cfRule type="expression" dxfId="72" priority="12" stopIfTrue="1">
      <formula>$P$35=""</formula>
    </cfRule>
  </conditionalFormatting>
  <conditionalFormatting sqref="D44:E44">
    <cfRule type="expression" dxfId="71" priority="16" stopIfTrue="1">
      <formula>$P$26=""</formula>
    </cfRule>
    <cfRule type="expression" dxfId="70" priority="17" stopIfTrue="1">
      <formula>IF(AND(OR($D$26="Yes",$D$26=""),D44=""),1,0)</formula>
    </cfRule>
  </conditionalFormatting>
  <conditionalFormatting sqref="D45:E45">
    <cfRule type="expression" dxfId="69" priority="18" stopIfTrue="1">
      <formula>$P$39=""</formula>
    </cfRule>
    <cfRule type="expression" dxfId="68" priority="19" stopIfTrue="1">
      <formula>IF(AND(OR($D$27="Yes",$D$27=""),D45=""),1,0)</formula>
    </cfRule>
  </conditionalFormatting>
  <conditionalFormatting sqref="D47:E47">
    <cfRule type="expression" dxfId="67" priority="22" stopIfTrue="1">
      <formula>IF(AND(OR($D$29="Yes",$D$29=""),D47=""),1,0)</formula>
    </cfRule>
  </conditionalFormatting>
  <conditionalFormatting sqref="D8:J8">
    <cfRule type="expression" dxfId="66" priority="10" stopIfTrue="1">
      <formula>IF($D$8="",TRUE)</formula>
    </cfRule>
  </conditionalFormatting>
  <conditionalFormatting sqref="D10:J10">
    <cfRule type="expression" dxfId="65" priority="8" stopIfTrue="1">
      <formula>IF($D$9=$Q$9,TRUE)</formula>
    </cfRule>
    <cfRule type="expression" dxfId="64" priority="9" stopIfTrue="1">
      <formula>IF(AND($D$10="",$D$9=$R$9),TRUE)</formula>
    </cfRule>
  </conditionalFormatting>
  <conditionalFormatting sqref="D15:J15">
    <cfRule type="expression" dxfId="63" priority="5" stopIfTrue="1">
      <formula>IF($D$15="",TRUE)</formula>
    </cfRule>
  </conditionalFormatting>
  <conditionalFormatting sqref="D16:J16">
    <cfRule type="expression" dxfId="62" priority="6" stopIfTrue="1">
      <formula>IF($D$16="",TRUE)</formula>
    </cfRule>
  </conditionalFormatting>
  <conditionalFormatting sqref="D17:J17">
    <cfRule type="expression" dxfId="61" priority="7" stopIfTrue="1">
      <formula>IF($D$17="",TRUE)</formula>
    </cfRule>
  </conditionalFormatting>
  <conditionalFormatting sqref="D18:J18">
    <cfRule type="expression" dxfId="60" priority="4" stopIfTrue="1">
      <formula>IF($D$18="",TRUE)</formula>
    </cfRule>
  </conditionalFormatting>
  <conditionalFormatting sqref="D20:J20">
    <cfRule type="expression" dxfId="59" priority="2" stopIfTrue="1">
      <formula>IF($D$20="",TRUE)</formula>
    </cfRule>
  </conditionalFormatting>
  <conditionalFormatting sqref="D21:J21">
    <cfRule type="expression" dxfId="58" priority="3" stopIfTrue="1">
      <formula>IF($D$21="",TRUE)</formula>
    </cfRule>
  </conditionalFormatting>
  <conditionalFormatting sqref="G77:J77">
    <cfRule type="expression" dxfId="57" priority="1" stopIfTrue="1">
      <formula>IF(AND($D$71="Yes",$G$71=""),TRUE)</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display="Pornphas.Niem@deltaww.com"/>
    <hyperlink ref="D20" r:id="rId4" display="IVAN.TANG@deltaww.com"/>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70" zoomScaleNormal="70" zoomScalePageLayoutView="55" workbookViewId="0">
      <pane ySplit="4" topLeftCell="A5" activePane="bottomLeft" state="frozen"/>
      <selection pane="bottomLeft" activeCell="B3" sqref="B3:E3"/>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5" t="str">
        <f ca="1">OFFSET(L!$C$1,MATCH("Smelter List"&amp;ADDRESS(ROW(),COLUMN(),4),L!$A:$A,0)-1,SL,,)</f>
        <v>Link to "RMAP Conformant Smelter List"</v>
      </c>
      <c r="K2" s="446"/>
      <c r="L2" s="446"/>
      <c r="M2" s="446"/>
      <c r="N2" s="446"/>
      <c r="O2" s="446"/>
      <c r="P2" s="234"/>
      <c r="Q2" s="235"/>
      <c r="R2" s="236"/>
      <c r="S2" s="236"/>
      <c r="T2" s="236"/>
      <c r="U2" s="267"/>
      <c r="V2" s="267"/>
      <c r="W2" s="268"/>
      <c r="X2" s="267"/>
      <c r="Y2" s="267"/>
      <c r="Z2" s="267"/>
      <c r="AH2" s="176" t="s">
        <v>498</v>
      </c>
    </row>
    <row r="3" spans="1:34" s="269" customFormat="1" ht="243.9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70"/>
      <c r="G3" s="448" t="str">
        <f ca="1">OFFSET(L!$C$1,MATCH("General"&amp;"Cpy",L!$A:$A,0)-1,SL,,)</f>
        <v>© 2020 Responsible Minerals Initiative. All rights reserved.</v>
      </c>
      <c r="H3" s="448"/>
      <c r="I3" s="449"/>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216" t="s">
        <v>15506</v>
      </c>
      <c r="B5" s="217" t="s">
        <v>1154</v>
      </c>
      <c r="C5" s="221" t="s">
        <v>51</v>
      </c>
      <c r="D5" s="217" t="s">
        <v>51</v>
      </c>
      <c r="E5" s="217" t="s">
        <v>2576</v>
      </c>
      <c r="F5" s="217" t="s">
        <v>783</v>
      </c>
      <c r="G5" s="217" t="s">
        <v>15507</v>
      </c>
      <c r="H5" s="347" t="s">
        <v>15508</v>
      </c>
      <c r="I5" s="219" t="s">
        <v>1798</v>
      </c>
      <c r="J5" s="219" t="s">
        <v>1774</v>
      </c>
      <c r="K5" s="348" t="s">
        <v>15509</v>
      </c>
      <c r="L5" s="348" t="s">
        <v>15510</v>
      </c>
      <c r="M5" s="348" t="s">
        <v>15511</v>
      </c>
      <c r="N5" s="348" t="s">
        <v>15512</v>
      </c>
      <c r="O5" s="348" t="s">
        <v>15513</v>
      </c>
      <c r="P5" s="348"/>
      <c r="Q5" s="349" t="s">
        <v>15514</v>
      </c>
      <c r="R5" s="217" t="str">
        <f ca="1">IF(ISERROR($V5),"",OFFSET('Smelter Look-up'!$C$4,$V5-4,0)&amp;"")</f>
        <v>Alpha</v>
      </c>
      <c r="S5" s="225" t="str">
        <f t="shared" ref="S5" ca="1" si="0">IF(B5="","",IF(ISERROR(MATCH($E5,CL,0)),"Unknown",INDIRECT("'C'!$A$"&amp;MATCH($E5,CL,0)+1)))</f>
        <v>US</v>
      </c>
      <c r="T5" s="225" t="str">
        <f ca="1">IF(B5="","",IF(ISERROR(MATCH($J5,SorP!$B$1:$B$6230,0)),"",INDIRECT("'SorP'!$A$"&amp;MATCH($J5,SorP!$B$1:$B$6230,0))))</f>
        <v>US-PA</v>
      </c>
      <c r="U5" s="241"/>
      <c r="V5" s="275">
        <f>IF(C5="",NA(),MATCH($B5&amp;$C5,'Smelter Look-up'!$J:$J,0))</f>
        <v>356</v>
      </c>
      <c r="W5" s="276"/>
      <c r="X5" s="276">
        <f t="shared" ref="X5" si="1">IF(AND(C5="Smelter not listed",OR(LEN(D5)=0,LEN(E5)=0)),1,0)</f>
        <v>0</v>
      </c>
      <c r="Y5" s="276"/>
      <c r="Z5" s="276"/>
      <c r="AB5" s="278" t="str">
        <f t="shared" ref="AB5" si="2">B5&amp;C5</f>
        <v>TinAlpha</v>
      </c>
    </row>
    <row r="6" spans="1:34" s="277" customFormat="1" ht="20.100000000000001" customHeight="1">
      <c r="A6" s="350" t="s">
        <v>1433</v>
      </c>
      <c r="B6" s="351" t="s">
        <v>1154</v>
      </c>
      <c r="C6" s="352" t="s">
        <v>929</v>
      </c>
      <c r="D6" s="351" t="s">
        <v>929</v>
      </c>
      <c r="E6" s="351" t="s">
        <v>1131</v>
      </c>
      <c r="F6" s="351" t="s">
        <v>1433</v>
      </c>
      <c r="G6" s="351" t="s">
        <v>15515</v>
      </c>
      <c r="H6" s="218" t="s">
        <v>15516</v>
      </c>
      <c r="I6" s="219" t="s">
        <v>1604</v>
      </c>
      <c r="J6" s="219" t="s">
        <v>1605</v>
      </c>
      <c r="K6" s="353" t="s">
        <v>15517</v>
      </c>
      <c r="L6" s="353" t="s">
        <v>15518</v>
      </c>
      <c r="M6" s="353" t="s">
        <v>15519</v>
      </c>
      <c r="N6" s="353" t="s">
        <v>15520</v>
      </c>
      <c r="O6" s="353" t="s">
        <v>15521</v>
      </c>
      <c r="P6" s="220" t="s">
        <v>499</v>
      </c>
      <c r="Q6" s="354" t="s">
        <v>15514</v>
      </c>
      <c r="R6" s="217" t="str">
        <f ca="1">IF(ISERROR($V6),"",OFFSET('Smelter Look-up'!$C$4,$V6-4,0)&amp;"")</f>
        <v>Dowa</v>
      </c>
      <c r="S6" s="225" t="str">
        <f t="shared" ref="S6:S37" ca="1" si="3">IF(B6="","",IF(ISERROR(MATCH($E6,CL,0)),"Unknown",INDIRECT("'C'!$A$"&amp;MATCH($E6,CL,0)+1)))</f>
        <v>JP</v>
      </c>
      <c r="T6" s="225" t="str">
        <f ca="1">IF(B6="","",IF(ISERROR(MATCH($J6,SorP!$B$1:$B$6230,0)),"",INDIRECT("'SorP'!$A$"&amp;MATCH($J6,SorP!$B$1:$B$6230,0))))</f>
        <v>JP-05</v>
      </c>
      <c r="U6" s="241"/>
      <c r="V6" s="275">
        <f>IF(C6="",NA(),MATCH($B6&amp;$C6,'Smelter Look-up'!$J:$J,0))</f>
        <v>374</v>
      </c>
      <c r="W6" s="276"/>
      <c r="X6" s="276">
        <f t="shared" ref="X6:X37" si="4">IF(AND(C6="Smelter not listed",OR(LEN(D6)=0,LEN(E6)=0)),1,0)</f>
        <v>0</v>
      </c>
      <c r="Y6" s="276"/>
      <c r="Z6" s="276"/>
      <c r="AB6" s="278" t="str">
        <f t="shared" ref="AB6:AB37" si="5">B6&amp;C6</f>
        <v>TinDowa</v>
      </c>
    </row>
    <row r="7" spans="1:34" s="277" customFormat="1" ht="20.100000000000001" customHeight="1">
      <c r="A7" s="350" t="s">
        <v>786</v>
      </c>
      <c r="B7" s="351" t="s">
        <v>1154</v>
      </c>
      <c r="C7" s="352" t="s">
        <v>836</v>
      </c>
      <c r="D7" s="351" t="s">
        <v>836</v>
      </c>
      <c r="E7" s="351" t="s">
        <v>905</v>
      </c>
      <c r="F7" s="351" t="s">
        <v>786</v>
      </c>
      <c r="G7" s="351" t="s">
        <v>15515</v>
      </c>
      <c r="H7" s="218" t="s">
        <v>15522</v>
      </c>
      <c r="I7" s="219" t="s">
        <v>1810</v>
      </c>
      <c r="J7" s="219" t="s">
        <v>15523</v>
      </c>
      <c r="K7" s="353" t="s">
        <v>15524</v>
      </c>
      <c r="L7" s="353" t="s">
        <v>15525</v>
      </c>
      <c r="M7" s="353" t="s">
        <v>15526</v>
      </c>
      <c r="N7" s="353" t="s">
        <v>15527</v>
      </c>
      <c r="O7" s="353" t="s">
        <v>15528</v>
      </c>
      <c r="P7" s="220"/>
      <c r="Q7" s="354" t="s">
        <v>15514</v>
      </c>
      <c r="R7" s="217" t="str">
        <f ca="1">IF(ISERROR($V7),"",OFFSET('Smelter Look-up'!$C$4,$V7-4,0)&amp;"")</f>
        <v>Fenix Metals</v>
      </c>
      <c r="S7" s="225" t="str">
        <f t="shared" ca="1" si="3"/>
        <v>PL</v>
      </c>
      <c r="T7" s="225" t="str">
        <f ca="1">IF(B7="","",IF(ISERROR(MATCH($J7,SorP!$B$1:$B$6230,0)),"",INDIRECT("'SorP'!$A$"&amp;MATCH($J7,SorP!$B$1:$B$6230,0))))</f>
        <v/>
      </c>
      <c r="U7" s="241"/>
      <c r="V7" s="275">
        <f>IF(C7="",NA(),MATCH($B7&amp;$C7,'Smelter Look-up'!$J:$J,0))</f>
        <v>383</v>
      </c>
      <c r="W7" s="276"/>
      <c r="X7" s="276">
        <f t="shared" si="4"/>
        <v>0</v>
      </c>
      <c r="Y7" s="276"/>
      <c r="Z7" s="276"/>
      <c r="AB7" s="278" t="str">
        <f t="shared" si="5"/>
        <v>TinFenix Metals</v>
      </c>
    </row>
    <row r="8" spans="1:34" s="277" customFormat="1" ht="20.100000000000001" customHeight="1">
      <c r="A8" s="350" t="s">
        <v>787</v>
      </c>
      <c r="B8" s="351" t="s">
        <v>1154</v>
      </c>
      <c r="C8" s="352" t="s">
        <v>2248</v>
      </c>
      <c r="D8" s="351" t="s">
        <v>2248</v>
      </c>
      <c r="E8" s="351" t="s">
        <v>1123</v>
      </c>
      <c r="F8" s="351" t="s">
        <v>787</v>
      </c>
      <c r="G8" s="351" t="s">
        <v>15515</v>
      </c>
      <c r="H8" s="218" t="s">
        <v>15529</v>
      </c>
      <c r="I8" s="219" t="s">
        <v>2590</v>
      </c>
      <c r="J8" s="219" t="s">
        <v>15530</v>
      </c>
      <c r="K8" s="353" t="s">
        <v>15531</v>
      </c>
      <c r="L8" s="353" t="s">
        <v>15532</v>
      </c>
      <c r="M8" s="353" t="s">
        <v>15533</v>
      </c>
      <c r="N8" s="353" t="s">
        <v>15534</v>
      </c>
      <c r="O8" s="353" t="s">
        <v>1123</v>
      </c>
      <c r="P8" s="220"/>
      <c r="Q8" s="354" t="s">
        <v>15535</v>
      </c>
      <c r="R8" s="217" t="str">
        <f ca="1">IF(ISERROR($V8),"",OFFSET('Smelter Look-up'!$C$4,$V8-4,0)&amp;"")</f>
        <v>Gejiu Non-Ferrous Metal Processing Co., Ltd.</v>
      </c>
      <c r="S8" s="225" t="str">
        <f t="shared" ca="1" si="3"/>
        <v>CN</v>
      </c>
      <c r="T8" s="225" t="str">
        <f ca="1">IF(B8="","",IF(ISERROR(MATCH($J8,SorP!$B$1:$B$6230,0)),"",INDIRECT("'SorP'!$A$"&amp;MATCH($J8,SorP!$B$1:$B$6230,0))))</f>
        <v/>
      </c>
      <c r="U8" s="241"/>
      <c r="V8" s="275">
        <f>IF(C8="",NA(),MATCH($B8&amp;$C8,'Smelter Look-up'!$J:$J,0))</f>
        <v>389</v>
      </c>
      <c r="W8" s="276"/>
      <c r="X8" s="276">
        <f t="shared" si="4"/>
        <v>0</v>
      </c>
      <c r="Y8" s="276"/>
      <c r="Z8" s="276"/>
      <c r="AB8" s="278" t="str">
        <f t="shared" si="5"/>
        <v>TinGejiu Non-Ferrous Metal Processing Co., Ltd.</v>
      </c>
    </row>
    <row r="9" spans="1:34" s="277" customFormat="1" ht="20.100000000000001" customHeight="1">
      <c r="A9" s="350" t="s">
        <v>1856</v>
      </c>
      <c r="B9" s="351" t="s">
        <v>1154</v>
      </c>
      <c r="C9" s="352" t="s">
        <v>13267</v>
      </c>
      <c r="D9" s="351" t="s">
        <v>15536</v>
      </c>
      <c r="E9" s="351" t="s">
        <v>1118</v>
      </c>
      <c r="F9" s="351" t="s">
        <v>1856</v>
      </c>
      <c r="G9" s="351" t="s">
        <v>15537</v>
      </c>
      <c r="H9" s="218" t="s">
        <v>15538</v>
      </c>
      <c r="I9" s="219" t="s">
        <v>1857</v>
      </c>
      <c r="J9" s="219" t="s">
        <v>1710</v>
      </c>
      <c r="K9" s="353" t="s">
        <v>15539</v>
      </c>
      <c r="L9" s="353" t="s">
        <v>15540</v>
      </c>
      <c r="M9" s="353"/>
      <c r="N9" s="353" t="s">
        <v>15520</v>
      </c>
      <c r="O9" s="353" t="s">
        <v>1118</v>
      </c>
      <c r="P9" s="220"/>
      <c r="Q9" s="354" t="s">
        <v>15541</v>
      </c>
      <c r="R9" s="217" t="str">
        <f ca="1">IF(ISERROR($V9),"",OFFSET('Smelter Look-up'!$C$4,$V9-4,0)&amp;"")</f>
        <v>Metallo Belgium N.V.</v>
      </c>
      <c r="S9" s="225" t="str">
        <f t="shared" ca="1" si="3"/>
        <v>BE</v>
      </c>
      <c r="T9" s="225" t="str">
        <f ca="1">IF(B9="","",IF(ISERROR(MATCH($J9,SorP!$B$1:$B$6230,0)),"",INDIRECT("'SorP'!$A$"&amp;MATCH($J9,SorP!$B$1:$B$6230,0))))</f>
        <v/>
      </c>
      <c r="U9" s="241"/>
      <c r="V9" s="275">
        <f>IF(C9="",NA(),MATCH($B9&amp;$C9,'Smelter Look-up'!$J:$J,0))</f>
        <v>419</v>
      </c>
      <c r="W9" s="276"/>
      <c r="X9" s="276">
        <f t="shared" si="4"/>
        <v>0</v>
      </c>
      <c r="Y9" s="276"/>
      <c r="Z9" s="276"/>
      <c r="AB9" s="278" t="str">
        <f t="shared" si="5"/>
        <v>TinMetallo Belgium N.V.</v>
      </c>
    </row>
    <row r="10" spans="1:34" s="277" customFormat="1" ht="20.100000000000001" customHeight="1">
      <c r="A10" s="350" t="s">
        <v>805</v>
      </c>
      <c r="B10" s="351" t="s">
        <v>1154</v>
      </c>
      <c r="C10" s="352" t="s">
        <v>2267</v>
      </c>
      <c r="D10" s="351" t="s">
        <v>2267</v>
      </c>
      <c r="E10" s="351" t="s">
        <v>1119</v>
      </c>
      <c r="F10" s="351" t="s">
        <v>805</v>
      </c>
      <c r="G10" s="351" t="s">
        <v>15507</v>
      </c>
      <c r="H10" s="218" t="s">
        <v>15542</v>
      </c>
      <c r="I10" s="219" t="s">
        <v>1835</v>
      </c>
      <c r="J10" s="219" t="s">
        <v>1708</v>
      </c>
      <c r="K10" s="353" t="s">
        <v>15543</v>
      </c>
      <c r="L10" s="353" t="s">
        <v>15544</v>
      </c>
      <c r="M10" s="353" t="s">
        <v>15545</v>
      </c>
      <c r="N10" s="353" t="s">
        <v>15520</v>
      </c>
      <c r="O10" s="353" t="s">
        <v>15546</v>
      </c>
      <c r="P10" s="220" t="s">
        <v>499</v>
      </c>
      <c r="Q10" s="354" t="s">
        <v>15547</v>
      </c>
      <c r="R10" s="217" t="str">
        <f ca="1">IF(ISERROR($V10),"",OFFSET('Smelter Look-up'!$C$4,$V10-4,0)&amp;"")</f>
        <v>Soft Metais Ltda.</v>
      </c>
      <c r="S10" s="225" t="str">
        <f t="shared" ca="1" si="3"/>
        <v>BR</v>
      </c>
      <c r="T10" s="225" t="str">
        <f ca="1">IF(B10="","",IF(ISERROR(MATCH($J10,SorP!$B$1:$B$6230,0)),"",INDIRECT("'SorP'!$A$"&amp;MATCH($J10,SorP!$B$1:$B$6230,0))))</f>
        <v>BR-SP</v>
      </c>
      <c r="U10" s="241"/>
      <c r="V10" s="275">
        <f>IF(C10="",NA(),MATCH($B10&amp;$C10,'Smelter Look-up'!$J:$J,0))</f>
        <v>453</v>
      </c>
      <c r="W10" s="276"/>
      <c r="X10" s="276">
        <f t="shared" si="4"/>
        <v>0</v>
      </c>
      <c r="Y10" s="276"/>
      <c r="Z10" s="276"/>
      <c r="AB10" s="278" t="str">
        <f t="shared" si="5"/>
        <v>TinSoft Metais Ltda.</v>
      </c>
    </row>
    <row r="11" spans="1:34" s="277" customFormat="1" ht="20.100000000000001" customHeight="1">
      <c r="A11" s="350" t="s">
        <v>1855</v>
      </c>
      <c r="B11" s="351" t="s">
        <v>1154</v>
      </c>
      <c r="C11" s="352" t="s">
        <v>2329</v>
      </c>
      <c r="D11" s="351" t="s">
        <v>2329</v>
      </c>
      <c r="E11" s="351" t="s">
        <v>1119</v>
      </c>
      <c r="F11" s="351" t="s">
        <v>1855</v>
      </c>
      <c r="G11" s="351" t="s">
        <v>15515</v>
      </c>
      <c r="H11" s="218" t="s">
        <v>2483</v>
      </c>
      <c r="I11" s="219" t="s">
        <v>1757</v>
      </c>
      <c r="J11" s="219" t="s">
        <v>1796</v>
      </c>
      <c r="K11" s="353" t="s">
        <v>2483</v>
      </c>
      <c r="L11" s="353" t="s">
        <v>2483</v>
      </c>
      <c r="M11" s="353" t="s">
        <v>15548</v>
      </c>
      <c r="N11" s="353" t="s">
        <v>15520</v>
      </c>
      <c r="O11" s="353" t="s">
        <v>1796</v>
      </c>
      <c r="P11" s="220" t="s">
        <v>14249</v>
      </c>
      <c r="Q11" s="354" t="s">
        <v>14249</v>
      </c>
      <c r="R11" s="217" t="str">
        <f ca="1">IF(ISERROR($V11),"",OFFSET('Smelter Look-up'!$C$4,$V11-4,0)&amp;"")</f>
        <v>Resind Industria e Comercio Ltda.</v>
      </c>
      <c r="S11" s="225" t="str">
        <f t="shared" ca="1" si="3"/>
        <v>BR</v>
      </c>
      <c r="T11" s="225" t="str">
        <f ca="1">IF(B11="","",IF(ISERROR(MATCH($J11,SorP!$B$1:$B$6230,0)),"",INDIRECT("'SorP'!$A$"&amp;MATCH($J11,SorP!$B$1:$B$6230,0))))</f>
        <v>BR-MG</v>
      </c>
      <c r="U11" s="241"/>
      <c r="V11" s="275">
        <f>IF(C11="",NA(),MATCH($B11&amp;$C11,'Smelter Look-up'!$J:$J,0))</f>
        <v>449</v>
      </c>
      <c r="W11" s="276"/>
      <c r="X11" s="276">
        <f t="shared" si="4"/>
        <v>0</v>
      </c>
      <c r="Y11" s="276"/>
      <c r="Z11" s="276"/>
      <c r="AB11" s="278" t="str">
        <f t="shared" si="5"/>
        <v>TinResind Indústria e Comércio Ltda.</v>
      </c>
    </row>
    <row r="12" spans="1:34" s="277" customFormat="1" ht="20.100000000000001" customHeight="1">
      <c r="A12" s="350" t="s">
        <v>15549</v>
      </c>
      <c r="B12" s="351" t="s">
        <v>1153</v>
      </c>
      <c r="C12" s="352" t="s">
        <v>2244</v>
      </c>
      <c r="D12" s="351" t="s">
        <v>2244</v>
      </c>
      <c r="E12" s="351" t="s">
        <v>1131</v>
      </c>
      <c r="F12" s="351" t="s">
        <v>666</v>
      </c>
      <c r="G12" s="351" t="s">
        <v>15515</v>
      </c>
      <c r="H12" s="347" t="s">
        <v>15550</v>
      </c>
      <c r="I12" s="219" t="s">
        <v>1570</v>
      </c>
      <c r="J12" s="219" t="s">
        <v>1571</v>
      </c>
      <c r="K12" s="348" t="s">
        <v>15551</v>
      </c>
      <c r="L12" s="348" t="s">
        <v>15552</v>
      </c>
      <c r="M12" s="348" t="s">
        <v>15553</v>
      </c>
      <c r="N12" s="348" t="s">
        <v>15554</v>
      </c>
      <c r="O12" s="348" t="s">
        <v>15555</v>
      </c>
      <c r="P12" s="355"/>
      <c r="Q12" s="356"/>
      <c r="R12" s="217" t="str">
        <f ca="1">IF(ISERROR($V12),"",OFFSET('Smelter Look-up'!$C$4,$V12-4,0)&amp;"")</f>
        <v>Aida Chemical Industries Co., Ltd.</v>
      </c>
      <c r="S12" s="225" t="str">
        <f t="shared" ca="1" si="3"/>
        <v>JP</v>
      </c>
      <c r="T12" s="225" t="str">
        <f ca="1">IF(B12="","",IF(ISERROR(MATCH($J12,SorP!$B$1:$B$6230,0)),"",INDIRECT("'SorP'!$A$"&amp;MATCH($J12,SorP!$B$1:$B$6230,0))))</f>
        <v>JP-13</v>
      </c>
      <c r="U12" s="241"/>
      <c r="V12" s="275">
        <f>IF(C12="",NA(),MATCH($B12&amp;$C12,'Smelter Look-up'!$J:$J,0))</f>
        <v>11</v>
      </c>
      <c r="W12" s="276"/>
      <c r="X12" s="276">
        <f t="shared" si="4"/>
        <v>0</v>
      </c>
      <c r="Y12" s="276"/>
      <c r="Z12" s="276"/>
      <c r="AB12" s="278" t="str">
        <f t="shared" si="5"/>
        <v>GoldAida Chemical Industries Co., Ltd.</v>
      </c>
    </row>
    <row r="13" spans="1:34" s="277" customFormat="1" ht="20.100000000000001" customHeight="1">
      <c r="A13" s="350" t="s">
        <v>15556</v>
      </c>
      <c r="B13" s="351" t="s">
        <v>1153</v>
      </c>
      <c r="C13" s="352" t="s">
        <v>54</v>
      </c>
      <c r="D13" s="351" t="s">
        <v>54</v>
      </c>
      <c r="E13" s="351" t="s">
        <v>1124</v>
      </c>
      <c r="F13" s="351" t="s">
        <v>667</v>
      </c>
      <c r="G13" s="351" t="s">
        <v>15537</v>
      </c>
      <c r="H13" s="347" t="s">
        <v>15557</v>
      </c>
      <c r="I13" s="219" t="s">
        <v>1572</v>
      </c>
      <c r="J13" s="219" t="s">
        <v>1573</v>
      </c>
      <c r="K13" s="348" t="s">
        <v>15558</v>
      </c>
      <c r="L13" s="348" t="s">
        <v>15559</v>
      </c>
      <c r="M13" s="348" t="s">
        <v>15560</v>
      </c>
      <c r="N13" s="348" t="s">
        <v>15520</v>
      </c>
      <c r="O13" s="348" t="s">
        <v>15561</v>
      </c>
      <c r="P13" s="348"/>
      <c r="Q13" s="349"/>
      <c r="R13" s="217" t="str">
        <f ca="1">IF(ISERROR($V13),"",OFFSET('Smelter Look-up'!$C$4,$V13-4,0)&amp;"")</f>
        <v>Allgemeine Gold-und Silberscheideanstalt A.G.</v>
      </c>
      <c r="S13" s="225" t="str">
        <f t="shared" ca="1" si="3"/>
        <v>DE</v>
      </c>
      <c r="T13" s="225" t="str">
        <f ca="1">IF(B13="","",IF(ISERROR(MATCH($J13,SorP!$B$1:$B$6230,0)),"",INDIRECT("'SorP'!$A$"&amp;MATCH($J13,SorP!$B$1:$B$6230,0))))</f>
        <v>DE-BW</v>
      </c>
      <c r="U13" s="241"/>
      <c r="V13" s="275">
        <f>IF(C13="",NA(),MATCH($B13&amp;$C13,'Smelter Look-up'!$J:$J,0))</f>
        <v>14</v>
      </c>
      <c r="W13" s="276"/>
      <c r="X13" s="276">
        <f t="shared" si="4"/>
        <v>0</v>
      </c>
      <c r="Y13" s="276"/>
      <c r="Z13" s="276"/>
      <c r="AB13" s="278" t="str">
        <f t="shared" si="5"/>
        <v>GoldAllgemeine Gold-und Silberscheideanstalt A.G.</v>
      </c>
    </row>
    <row r="14" spans="1:34" s="277" customFormat="1" ht="20.100000000000001" customHeight="1">
      <c r="A14" s="350" t="s">
        <v>15562</v>
      </c>
      <c r="B14" s="351" t="s">
        <v>1153</v>
      </c>
      <c r="C14" s="352" t="s">
        <v>2411</v>
      </c>
      <c r="D14" s="351" t="s">
        <v>2411</v>
      </c>
      <c r="E14" s="351" t="s">
        <v>1120</v>
      </c>
      <c r="F14" s="351" t="s">
        <v>705</v>
      </c>
      <c r="G14" s="351" t="s">
        <v>15537</v>
      </c>
      <c r="H14" s="347" t="s">
        <v>15563</v>
      </c>
      <c r="I14" s="219" t="s">
        <v>1632</v>
      </c>
      <c r="J14" s="219" t="s">
        <v>1633</v>
      </c>
      <c r="K14" s="348" t="s">
        <v>15564</v>
      </c>
      <c r="L14" s="348" t="s">
        <v>15565</v>
      </c>
      <c r="M14" s="348" t="s">
        <v>15566</v>
      </c>
      <c r="N14" s="348" t="s">
        <v>15567</v>
      </c>
      <c r="O14" s="348" t="s">
        <v>15568</v>
      </c>
      <c r="P14" s="348"/>
      <c r="Q14" s="349"/>
      <c r="R14" s="217" t="str">
        <f ca="1">IF(ISERROR($V14),"",OFFSET('Smelter Look-up'!$C$4,$V14-4,0)&amp;"")</f>
        <v>Asahi Refining Canada Ltd.</v>
      </c>
      <c r="S14" s="225" t="str">
        <f t="shared" ca="1" si="3"/>
        <v>CA</v>
      </c>
      <c r="T14" s="225" t="str">
        <f ca="1">IF(B14="","",IF(ISERROR(MATCH($J14,SorP!$B$1:$B$6230,0)),"",INDIRECT("'SorP'!$A$"&amp;MATCH($J14,SorP!$B$1:$B$6230,0))))</f>
        <v>CA-ON</v>
      </c>
      <c r="U14" s="241"/>
      <c r="V14" s="275">
        <f>IF(C14="",NA(),MATCH($B14&amp;$C14,'Smelter Look-up'!$J:$J,0))</f>
        <v>25</v>
      </c>
      <c r="W14" s="276"/>
      <c r="X14" s="276">
        <f t="shared" si="4"/>
        <v>0</v>
      </c>
      <c r="Y14" s="276"/>
      <c r="Z14" s="276"/>
      <c r="AB14" s="278" t="str">
        <f t="shared" si="5"/>
        <v>GoldAsahi Refining Canada Ltd.</v>
      </c>
    </row>
    <row r="15" spans="1:34" s="277" customFormat="1" ht="20.100000000000001" customHeight="1">
      <c r="A15" s="350" t="s">
        <v>15569</v>
      </c>
      <c r="B15" s="351" t="s">
        <v>1153</v>
      </c>
      <c r="C15" s="352" t="s">
        <v>2309</v>
      </c>
      <c r="D15" s="351" t="s">
        <v>2309</v>
      </c>
      <c r="E15" s="351" t="s">
        <v>2576</v>
      </c>
      <c r="F15" s="351" t="s">
        <v>704</v>
      </c>
      <c r="G15" s="351" t="s">
        <v>15515</v>
      </c>
      <c r="H15" s="347" t="s">
        <v>15570</v>
      </c>
      <c r="I15" s="219" t="s">
        <v>1629</v>
      </c>
      <c r="J15" s="219" t="s">
        <v>1630</v>
      </c>
      <c r="K15" s="348" t="s">
        <v>15571</v>
      </c>
      <c r="L15" s="348" t="s">
        <v>15572</v>
      </c>
      <c r="M15" s="348" t="s">
        <v>15573</v>
      </c>
      <c r="N15" s="348" t="s">
        <v>15567</v>
      </c>
      <c r="O15" s="348" t="s">
        <v>15574</v>
      </c>
      <c r="P15" s="348"/>
      <c r="Q15" s="349"/>
      <c r="R15" s="217" t="str">
        <f ca="1">IF(ISERROR($V15),"",OFFSET('Smelter Look-up'!$C$4,$V15-4,0)&amp;"")</f>
        <v>Asahi Refining USA Inc.</v>
      </c>
      <c r="S15" s="225" t="str">
        <f t="shared" ca="1" si="3"/>
        <v>US</v>
      </c>
      <c r="T15" s="225" t="str">
        <f ca="1">IF(B15="","",IF(ISERROR(MATCH($J15,SorP!$B$1:$B$6230,0)),"",INDIRECT("'SorP'!$A$"&amp;MATCH($J15,SorP!$B$1:$B$6230,0))))</f>
        <v>US-UT</v>
      </c>
      <c r="U15" s="241"/>
      <c r="V15" s="275">
        <f>IF(C15="",NA(),MATCH($B15&amp;$C15,'Smelter Look-up'!$J:$J,0))</f>
        <v>26</v>
      </c>
      <c r="W15" s="276"/>
      <c r="X15" s="276">
        <f t="shared" si="4"/>
        <v>0</v>
      </c>
      <c r="Y15" s="276"/>
      <c r="Z15" s="276"/>
      <c r="AB15" s="278" t="str">
        <f t="shared" si="5"/>
        <v>GoldAsahi Refining USA Inc.</v>
      </c>
    </row>
    <row r="16" spans="1:34" s="277" customFormat="1" ht="20.100000000000001" customHeight="1">
      <c r="A16" s="350" t="s">
        <v>15575</v>
      </c>
      <c r="B16" s="351" t="s">
        <v>1153</v>
      </c>
      <c r="C16" s="352" t="s">
        <v>2245</v>
      </c>
      <c r="D16" s="351" t="s">
        <v>2245</v>
      </c>
      <c r="E16" s="351" t="s">
        <v>1131</v>
      </c>
      <c r="F16" s="351" t="s">
        <v>672</v>
      </c>
      <c r="G16" s="351" t="s">
        <v>15515</v>
      </c>
      <c r="H16" s="347" t="s">
        <v>15576</v>
      </c>
      <c r="I16" s="219" t="s">
        <v>1583</v>
      </c>
      <c r="J16" s="219" t="s">
        <v>1584</v>
      </c>
      <c r="K16" s="348" t="s">
        <v>15577</v>
      </c>
      <c r="L16" s="348" t="s">
        <v>15578</v>
      </c>
      <c r="M16" s="348" t="s">
        <v>15579</v>
      </c>
      <c r="N16" s="348" t="s">
        <v>15580</v>
      </c>
      <c r="O16" s="348" t="s">
        <v>15581</v>
      </c>
      <c r="P16" s="348"/>
      <c r="Q16" s="349"/>
      <c r="R16" s="217" t="str">
        <f ca="1">IF(ISERROR($V16),"",OFFSET('Smelter Look-up'!$C$4,$V16-4,0)&amp;"")</f>
        <v>Asaka Riken Co., Ltd.</v>
      </c>
      <c r="S16" s="225" t="str">
        <f t="shared" ca="1" si="3"/>
        <v>JP</v>
      </c>
      <c r="T16" s="225" t="str">
        <f ca="1">IF(B16="","",IF(ISERROR(MATCH($J16,SorP!$B$1:$B$6230,0)),"",INDIRECT("'SorP'!$A$"&amp;MATCH($J16,SorP!$B$1:$B$6230,0))))</f>
        <v>JP-07</v>
      </c>
      <c r="U16" s="241"/>
      <c r="V16" s="275">
        <f>IF(C16="",NA(),MATCH($B16&amp;$C16,'Smelter Look-up'!$J:$J,0))</f>
        <v>27</v>
      </c>
      <c r="W16" s="276"/>
      <c r="X16" s="276">
        <f t="shared" si="4"/>
        <v>0</v>
      </c>
      <c r="Y16" s="276"/>
      <c r="Z16" s="276"/>
      <c r="AB16" s="278" t="str">
        <f t="shared" si="5"/>
        <v>GoldAsaka Riken Co., Ltd.</v>
      </c>
    </row>
    <row r="17" spans="1:28" s="277" customFormat="1" ht="20.100000000000001" customHeight="1">
      <c r="A17" s="350" t="s">
        <v>15582</v>
      </c>
      <c r="B17" s="351" t="s">
        <v>1153</v>
      </c>
      <c r="C17" s="352" t="s">
        <v>1247</v>
      </c>
      <c r="D17" s="351" t="s">
        <v>1247</v>
      </c>
      <c r="E17" s="351" t="s">
        <v>1124</v>
      </c>
      <c r="F17" s="351" t="s">
        <v>674</v>
      </c>
      <c r="G17" s="351" t="s">
        <v>15507</v>
      </c>
      <c r="H17" s="347" t="s">
        <v>15583</v>
      </c>
      <c r="I17" s="219" t="s">
        <v>1586</v>
      </c>
      <c r="J17" s="219" t="s">
        <v>15584</v>
      </c>
      <c r="K17" s="348" t="s">
        <v>15585</v>
      </c>
      <c r="L17" s="348" t="s">
        <v>15586</v>
      </c>
      <c r="M17" s="348" t="s">
        <v>15587</v>
      </c>
      <c r="N17" s="348" t="s">
        <v>15520</v>
      </c>
      <c r="O17" s="348" t="s">
        <v>15588</v>
      </c>
      <c r="P17" s="348"/>
      <c r="Q17" s="349"/>
      <c r="R17" s="217" t="str">
        <f ca="1">IF(ISERROR($V17),"",OFFSET('Smelter Look-up'!$C$4,$V17-4,0)&amp;"")</f>
        <v>Aurubis AG</v>
      </c>
      <c r="S17" s="225" t="str">
        <f t="shared" ca="1" si="3"/>
        <v>DE</v>
      </c>
      <c r="T17" s="225" t="str">
        <f ca="1">IF(B17="","",IF(ISERROR(MATCH($J17,SorP!$B$1:$B$6230,0)),"",INDIRECT("'SorP'!$A$"&amp;MATCH($J17,SorP!$B$1:$B$6230,0))))</f>
        <v/>
      </c>
      <c r="U17" s="241"/>
      <c r="V17" s="275">
        <f>IF(C17="",NA(),MATCH($B17&amp;$C17,'Smelter Look-up'!$J:$J,0))</f>
        <v>32</v>
      </c>
      <c r="W17" s="276"/>
      <c r="X17" s="276">
        <f t="shared" si="4"/>
        <v>0</v>
      </c>
      <c r="Y17" s="276"/>
      <c r="Z17" s="276"/>
      <c r="AB17" s="278" t="str">
        <f t="shared" si="5"/>
        <v>GoldAurubis AG</v>
      </c>
    </row>
    <row r="18" spans="1:28" s="277" customFormat="1" ht="20.100000000000001" customHeight="1">
      <c r="A18" s="350" t="s">
        <v>15589</v>
      </c>
      <c r="B18" s="351" t="s">
        <v>1153</v>
      </c>
      <c r="C18" s="352" t="s">
        <v>1249</v>
      </c>
      <c r="D18" s="351" t="s">
        <v>1249</v>
      </c>
      <c r="E18" s="351" t="s">
        <v>910</v>
      </c>
      <c r="F18" s="351" t="s">
        <v>676</v>
      </c>
      <c r="G18" s="351" t="s">
        <v>15515</v>
      </c>
      <c r="H18" s="347" t="s">
        <v>15590</v>
      </c>
      <c r="I18" s="219" t="s">
        <v>1588</v>
      </c>
      <c r="J18" s="219" t="s">
        <v>15591</v>
      </c>
      <c r="K18" s="348" t="s">
        <v>2483</v>
      </c>
      <c r="L18" s="348" t="s">
        <v>2483</v>
      </c>
      <c r="M18" s="348" t="s">
        <v>15592</v>
      </c>
      <c r="N18" s="348" t="s">
        <v>15520</v>
      </c>
      <c r="O18" s="348" t="s">
        <v>15588</v>
      </c>
      <c r="P18" s="348"/>
      <c r="Q18" s="349"/>
      <c r="R18" s="217" t="str">
        <f ca="1">IF(ISERROR($V18),"",OFFSET('Smelter Look-up'!$C$4,$V18-4,0)&amp;"")</f>
        <v>Boliden AB</v>
      </c>
      <c r="S18" s="225" t="str">
        <f t="shared" ca="1" si="3"/>
        <v>SE</v>
      </c>
      <c r="T18" s="225" t="str">
        <f ca="1">IF(B18="","",IF(ISERROR(MATCH($J18,SorP!$B$1:$B$6230,0)),"",INDIRECT("'SorP'!$A$"&amp;MATCH($J18,SorP!$B$1:$B$6230,0))))</f>
        <v/>
      </c>
      <c r="U18" s="241"/>
      <c r="V18" s="275">
        <f>IF(C18="",NA(),MATCH($B18&amp;$C18,'Smelter Look-up'!$J:$J,0))</f>
        <v>37</v>
      </c>
      <c r="W18" s="276"/>
      <c r="X18" s="276">
        <f t="shared" si="4"/>
        <v>0</v>
      </c>
      <c r="Y18" s="276"/>
      <c r="Z18" s="276"/>
      <c r="AB18" s="278" t="str">
        <f t="shared" si="5"/>
        <v>GoldBoliden AB</v>
      </c>
    </row>
    <row r="19" spans="1:28" s="277" customFormat="1" ht="25.5">
      <c r="A19" s="350" t="s">
        <v>15593</v>
      </c>
      <c r="B19" s="351" t="s">
        <v>1153</v>
      </c>
      <c r="C19" s="352" t="s">
        <v>929</v>
      </c>
      <c r="D19" s="351" t="s">
        <v>929</v>
      </c>
      <c r="E19" s="351" t="s">
        <v>1131</v>
      </c>
      <c r="F19" s="351" t="s">
        <v>689</v>
      </c>
      <c r="G19" s="351" t="s">
        <v>15515</v>
      </c>
      <c r="H19" s="347" t="s">
        <v>15594</v>
      </c>
      <c r="I19" s="219" t="s">
        <v>1604</v>
      </c>
      <c r="J19" s="219" t="s">
        <v>1605</v>
      </c>
      <c r="K19" s="348" t="s">
        <v>15595</v>
      </c>
      <c r="L19" s="348" t="s">
        <v>15596</v>
      </c>
      <c r="M19" s="348" t="s">
        <v>15597</v>
      </c>
      <c r="N19" s="348" t="s">
        <v>15598</v>
      </c>
      <c r="O19" s="348" t="s">
        <v>15599</v>
      </c>
      <c r="P19" s="348" t="s">
        <v>499</v>
      </c>
      <c r="Q19" s="349"/>
      <c r="R19" s="217" t="str">
        <f ca="1">IF(ISERROR($V19),"",OFFSET('Smelter Look-up'!$C$4,$V19-4,0)&amp;"")</f>
        <v>Dowa</v>
      </c>
      <c r="S19" s="225" t="str">
        <f t="shared" ca="1" si="3"/>
        <v>JP</v>
      </c>
      <c r="T19" s="225" t="str">
        <f ca="1">IF(B19="","",IF(ISERROR(MATCH($J19,SorP!$B$1:$B$6230,0)),"",INDIRECT("'SorP'!$A$"&amp;MATCH($J19,SorP!$B$1:$B$6230,0))))</f>
        <v>JP-05</v>
      </c>
      <c r="U19" s="241"/>
      <c r="V19" s="275">
        <f>IF(C19="",NA(),MATCH($B19&amp;$C19,'Smelter Look-up'!$J:$J,0))</f>
        <v>63</v>
      </c>
      <c r="W19" s="276"/>
      <c r="X19" s="276">
        <f t="shared" si="4"/>
        <v>0</v>
      </c>
      <c r="Y19" s="276"/>
      <c r="Z19" s="276"/>
      <c r="AB19" s="278" t="str">
        <f t="shared" si="5"/>
        <v>GoldDowa</v>
      </c>
    </row>
    <row r="20" spans="1:28" s="277" customFormat="1" ht="63.75">
      <c r="A20" s="350" t="s">
        <v>15600</v>
      </c>
      <c r="B20" s="351" t="s">
        <v>1153</v>
      </c>
      <c r="C20" s="352" t="s">
        <v>15601</v>
      </c>
      <c r="D20" s="351" t="s">
        <v>15601</v>
      </c>
      <c r="E20" s="351" t="s">
        <v>1131</v>
      </c>
      <c r="F20" s="351" t="s">
        <v>407</v>
      </c>
      <c r="G20" s="351" t="s">
        <v>15507</v>
      </c>
      <c r="H20" s="347" t="s">
        <v>15602</v>
      </c>
      <c r="I20" s="219" t="s">
        <v>1609</v>
      </c>
      <c r="J20" s="219" t="s">
        <v>1610</v>
      </c>
      <c r="K20" s="348" t="s">
        <v>15603</v>
      </c>
      <c r="L20" s="348" t="s">
        <v>15604</v>
      </c>
      <c r="M20" s="348" t="s">
        <v>15605</v>
      </c>
      <c r="N20" s="348" t="s">
        <v>15554</v>
      </c>
      <c r="O20" s="348" t="s">
        <v>15606</v>
      </c>
      <c r="P20" s="348"/>
      <c r="Q20" s="349"/>
      <c r="R20" s="217" t="str">
        <f ca="1">IF(ISERROR($V20),"",OFFSET('Smelter Look-up'!$C$4,$V20-4,0)&amp;"")</f>
        <v/>
      </c>
      <c r="S20" s="225" t="str">
        <f t="shared" ca="1" si="3"/>
        <v>JP</v>
      </c>
      <c r="T20" s="225" t="str">
        <f ca="1">IF(B20="","",IF(ISERROR(MATCH($J20,SorP!$B$1:$B$6230,0)),"",INDIRECT("'SorP'!$A$"&amp;MATCH($J20,SorP!$B$1:$B$6230,0))))</f>
        <v>JP-11</v>
      </c>
      <c r="U20" s="241"/>
      <c r="V20" s="275" t="e">
        <f>IF(C20="",NA(),MATCH($B20&amp;$C20,'Smelter Look-up'!$J:$J,0))</f>
        <v>#N/A</v>
      </c>
      <c r="W20" s="276"/>
      <c r="X20" s="276">
        <f t="shared" si="4"/>
        <v>0</v>
      </c>
      <c r="Y20" s="276"/>
      <c r="Z20" s="276"/>
      <c r="AB20" s="278" t="str">
        <f t="shared" si="5"/>
        <v>GoldEco-System Recycling Co., Ltd.</v>
      </c>
    </row>
    <row r="21" spans="1:28" s="277" customFormat="1" ht="63.75">
      <c r="A21" s="350" t="s">
        <v>15607</v>
      </c>
      <c r="B21" s="351" t="s">
        <v>1153</v>
      </c>
      <c r="C21" s="352" t="s">
        <v>1251</v>
      </c>
      <c r="D21" s="351" t="s">
        <v>1251</v>
      </c>
      <c r="E21" s="351" t="s">
        <v>1131</v>
      </c>
      <c r="F21" s="351" t="s">
        <v>700</v>
      </c>
      <c r="G21" s="351" t="s">
        <v>15507</v>
      </c>
      <c r="H21" s="347" t="s">
        <v>15608</v>
      </c>
      <c r="I21" s="219" t="s">
        <v>1624</v>
      </c>
      <c r="J21" s="219" t="s">
        <v>1610</v>
      </c>
      <c r="K21" s="348" t="s">
        <v>15609</v>
      </c>
      <c r="L21" s="348" t="s">
        <v>15610</v>
      </c>
      <c r="M21" s="348" t="s">
        <v>15611</v>
      </c>
      <c r="N21" s="348" t="s">
        <v>15567</v>
      </c>
      <c r="O21" s="348" t="s">
        <v>15568</v>
      </c>
      <c r="P21" s="348"/>
      <c r="Q21" s="349" t="s">
        <v>15612</v>
      </c>
      <c r="R21" s="217" t="str">
        <f ca="1">IF(ISERROR($V21),"",OFFSET('Smelter Look-up'!$C$4,$V21-4,0)&amp;"")</f>
        <v>Ishifuku Metal Industry Co., Ltd.</v>
      </c>
      <c r="S21" s="225" t="str">
        <f t="shared" ca="1" si="3"/>
        <v>JP</v>
      </c>
      <c r="T21" s="225" t="str">
        <f ca="1">IF(B21="","",IF(ISERROR(MATCH($J21,SorP!$B$1:$B$6230,0)),"",INDIRECT("'SorP'!$A$"&amp;MATCH($J21,SorP!$B$1:$B$6230,0))))</f>
        <v>JP-11</v>
      </c>
      <c r="U21" s="241"/>
      <c r="V21" s="275">
        <f>IF(C21="",NA(),MATCH($B21&amp;$C21,'Smelter Look-up'!$J:$J,0))</f>
        <v>107</v>
      </c>
      <c r="W21" s="276"/>
      <c r="X21" s="276">
        <f t="shared" si="4"/>
        <v>0</v>
      </c>
      <c r="Y21" s="276"/>
      <c r="Z21" s="276"/>
      <c r="AB21" s="278" t="str">
        <f t="shared" si="5"/>
        <v>GoldIshifuku Metal Industry Co., Ltd.</v>
      </c>
    </row>
    <row r="22" spans="1:28" s="277" customFormat="1" ht="51">
      <c r="A22" s="350" t="s">
        <v>15613</v>
      </c>
      <c r="B22" s="351" t="s">
        <v>1153</v>
      </c>
      <c r="C22" s="352" t="s">
        <v>1258</v>
      </c>
      <c r="D22" s="351" t="s">
        <v>1258</v>
      </c>
      <c r="E22" s="351" t="s">
        <v>912</v>
      </c>
      <c r="F22" s="351" t="s">
        <v>701</v>
      </c>
      <c r="G22" s="351" t="s">
        <v>15515</v>
      </c>
      <c r="H22" s="347" t="s">
        <v>15614</v>
      </c>
      <c r="I22" s="219" t="s">
        <v>1625</v>
      </c>
      <c r="J22" s="219" t="s">
        <v>1585</v>
      </c>
      <c r="K22" s="348" t="s">
        <v>2483</v>
      </c>
      <c r="L22" s="348" t="s">
        <v>15615</v>
      </c>
      <c r="M22" s="348" t="s">
        <v>15616</v>
      </c>
      <c r="N22" s="348" t="s">
        <v>15520</v>
      </c>
      <c r="O22" s="348" t="s">
        <v>15588</v>
      </c>
      <c r="P22" s="348"/>
      <c r="Q22" s="349" t="s">
        <v>15514</v>
      </c>
      <c r="R22" s="217" t="str">
        <f ca="1">IF(ISERROR($V22),"",OFFSET('Smelter Look-up'!$C$4,$V22-4,0)&amp;"")</f>
        <v>Istanbul Gold Refinery</v>
      </c>
      <c r="S22" s="225" t="str">
        <f t="shared" ca="1" si="3"/>
        <v>TR</v>
      </c>
      <c r="T22" s="225" t="str">
        <f ca="1">IF(B22="","",IF(ISERROR(MATCH($J22,SorP!$B$1:$B$6230,0)),"",INDIRECT("'SorP'!$A$"&amp;MATCH($J22,SorP!$B$1:$B$6230,0))))</f>
        <v/>
      </c>
      <c r="U22" s="241"/>
      <c r="V22" s="275">
        <f>IF(C22="",NA(),MATCH($B22&amp;$C22,'Smelter Look-up'!$J:$J,0))</f>
        <v>108</v>
      </c>
      <c r="W22" s="276"/>
      <c r="X22" s="276">
        <f t="shared" si="4"/>
        <v>0</v>
      </c>
      <c r="Y22" s="276"/>
      <c r="Z22" s="276"/>
      <c r="AB22" s="278" t="str">
        <f t="shared" si="5"/>
        <v>GoldIstanbul Gold Refinery</v>
      </c>
    </row>
    <row r="23" spans="1:28" s="277" customFormat="1" ht="38.25">
      <c r="A23" s="350" t="s">
        <v>15617</v>
      </c>
      <c r="B23" s="351" t="s">
        <v>1153</v>
      </c>
      <c r="C23" s="352" t="s">
        <v>1430</v>
      </c>
      <c r="D23" s="351" t="s">
        <v>1430</v>
      </c>
      <c r="E23" s="351" t="s">
        <v>906</v>
      </c>
      <c r="F23" s="351" t="s">
        <v>707</v>
      </c>
      <c r="G23" s="351" t="s">
        <v>15515</v>
      </c>
      <c r="H23" s="348" t="s">
        <v>2483</v>
      </c>
      <c r="I23" s="219" t="s">
        <v>1634</v>
      </c>
      <c r="J23" s="219" t="s">
        <v>15618</v>
      </c>
      <c r="K23" s="348" t="s">
        <v>2483</v>
      </c>
      <c r="L23" s="348"/>
      <c r="M23" s="348" t="s">
        <v>15548</v>
      </c>
      <c r="N23" s="348" t="s">
        <v>15520</v>
      </c>
      <c r="O23" s="348" t="s">
        <v>15619</v>
      </c>
      <c r="P23" s="348"/>
      <c r="Q23" s="349"/>
      <c r="R23" s="217" t="str">
        <f ca="1">IF(ISERROR($V23),"",OFFSET('Smelter Look-up'!$C$4,$V23-4,0)&amp;"")</f>
        <v>JSC Uralelectromed</v>
      </c>
      <c r="S23" s="225" t="str">
        <f t="shared" ca="1" si="3"/>
        <v>RU</v>
      </c>
      <c r="T23" s="225" t="str">
        <f ca="1">IF(B23="","",IF(ISERROR(MATCH($J23,SorP!$B$1:$B$6230,0)),"",INDIRECT("'SorP'!$A$"&amp;MATCH($J23,SorP!$B$1:$B$6230,0))))</f>
        <v/>
      </c>
      <c r="U23" s="241"/>
      <c r="V23" s="275">
        <f>IF(C23="",NA(),MATCH($B23&amp;$C23,'Smelter Look-up'!$J:$J,0))</f>
        <v>119</v>
      </c>
      <c r="W23" s="276"/>
      <c r="X23" s="276">
        <f t="shared" si="4"/>
        <v>0</v>
      </c>
      <c r="Y23" s="276"/>
      <c r="Z23" s="276"/>
      <c r="AB23" s="278" t="str">
        <f t="shared" si="5"/>
        <v>GoldJSC Uralelectromed</v>
      </c>
    </row>
    <row r="24" spans="1:28" s="277" customFormat="1" ht="25.5">
      <c r="A24" s="350" t="s">
        <v>15620</v>
      </c>
      <c r="B24" s="351" t="s">
        <v>1153</v>
      </c>
      <c r="C24" s="352" t="s">
        <v>1635</v>
      </c>
      <c r="D24" s="351" t="s">
        <v>1635</v>
      </c>
      <c r="E24" s="351" t="s">
        <v>1132</v>
      </c>
      <c r="F24" s="351" t="s">
        <v>709</v>
      </c>
      <c r="G24" s="351" t="s">
        <v>15515</v>
      </c>
      <c r="H24" s="347" t="s">
        <v>15621</v>
      </c>
      <c r="I24" s="219" t="s">
        <v>1636</v>
      </c>
      <c r="J24" s="219" t="s">
        <v>15622</v>
      </c>
      <c r="K24" s="348" t="s">
        <v>2483</v>
      </c>
      <c r="L24" s="348" t="s">
        <v>2483</v>
      </c>
      <c r="M24" s="348" t="s">
        <v>15623</v>
      </c>
      <c r="N24" s="348" t="s">
        <v>15520</v>
      </c>
      <c r="O24" s="219" t="s">
        <v>15624</v>
      </c>
      <c r="P24" s="348"/>
      <c r="Q24" s="349"/>
      <c r="R24" s="217" t="str">
        <f ca="1">IF(ISERROR($V24),"",OFFSET('Smelter Look-up'!$C$4,$V24-4,0)&amp;"")</f>
        <v>Kazzinc</v>
      </c>
      <c r="S24" s="225" t="str">
        <f t="shared" ca="1" si="3"/>
        <v>KZ</v>
      </c>
      <c r="T24" s="225" t="str">
        <f ca="1">IF(B24="","",IF(ISERROR(MATCH($J24,SorP!$B$1:$B$6230,0)),"",INDIRECT("'SorP'!$A$"&amp;MATCH($J24,SorP!$B$1:$B$6230,0))))</f>
        <v/>
      </c>
      <c r="U24" s="241"/>
      <c r="V24" s="275">
        <f>IF(C24="",NA(),MATCH($B24&amp;$C24,'Smelter Look-up'!$J:$J,0))</f>
        <v>123</v>
      </c>
      <c r="W24" s="276"/>
      <c r="X24" s="276">
        <f t="shared" si="4"/>
        <v>0</v>
      </c>
      <c r="Y24" s="276"/>
      <c r="Z24" s="276"/>
      <c r="AB24" s="278" t="str">
        <f t="shared" si="5"/>
        <v>GoldKazzinc</v>
      </c>
    </row>
    <row r="25" spans="1:28" s="277" customFormat="1" ht="63.75">
      <c r="A25" s="350" t="s">
        <v>15625</v>
      </c>
      <c r="B25" s="351" t="s">
        <v>1153</v>
      </c>
      <c r="C25" s="352" t="s">
        <v>710</v>
      </c>
      <c r="D25" s="351" t="s">
        <v>710</v>
      </c>
      <c r="E25" s="351" t="s">
        <v>2576</v>
      </c>
      <c r="F25" s="351" t="s">
        <v>711</v>
      </c>
      <c r="G25" s="351" t="s">
        <v>15515</v>
      </c>
      <c r="H25" s="347" t="s">
        <v>15626</v>
      </c>
      <c r="I25" s="219" t="s">
        <v>1637</v>
      </c>
      <c r="J25" s="219" t="s">
        <v>1630</v>
      </c>
      <c r="K25" s="348" t="s">
        <v>2483</v>
      </c>
      <c r="L25" s="348" t="s">
        <v>2483</v>
      </c>
      <c r="M25" s="348" t="s">
        <v>15623</v>
      </c>
      <c r="N25" s="348" t="s">
        <v>15520</v>
      </c>
      <c r="O25" s="219" t="s">
        <v>15561</v>
      </c>
      <c r="P25" s="348"/>
      <c r="Q25" s="349"/>
      <c r="R25" s="217" t="str">
        <f ca="1">IF(ISERROR($V25),"",OFFSET('Smelter Look-up'!$C$4,$V25-4,0)&amp;"")</f>
        <v>Kennecott Utah Copper LLC</v>
      </c>
      <c r="S25" s="225" t="str">
        <f t="shared" ca="1" si="3"/>
        <v>US</v>
      </c>
      <c r="T25" s="225" t="str">
        <f ca="1">IF(B25="","",IF(ISERROR(MATCH($J25,SorP!$B$1:$B$6230,0)),"",INDIRECT("'SorP'!$A$"&amp;MATCH($J25,SorP!$B$1:$B$6230,0))))</f>
        <v>US-UT</v>
      </c>
      <c r="U25" s="241"/>
      <c r="V25" s="275">
        <f>IF(C25="",NA(),MATCH($B25&amp;$C25,'Smelter Look-up'!$J:$J,0))</f>
        <v>124</v>
      </c>
      <c r="W25" s="276"/>
      <c r="X25" s="276">
        <f t="shared" si="4"/>
        <v>0</v>
      </c>
      <c r="Y25" s="276"/>
      <c r="Z25" s="276"/>
      <c r="AB25" s="278" t="str">
        <f t="shared" si="5"/>
        <v>GoldKennecott Utah Copper LLC</v>
      </c>
    </row>
    <row r="26" spans="1:28" s="277" customFormat="1" ht="63.75">
      <c r="A26" s="350" t="s">
        <v>15627</v>
      </c>
      <c r="B26" s="351" t="s">
        <v>1153</v>
      </c>
      <c r="C26" s="352" t="s">
        <v>2252</v>
      </c>
      <c r="D26" s="351" t="s">
        <v>2252</v>
      </c>
      <c r="E26" s="351" t="s">
        <v>1131</v>
      </c>
      <c r="F26" s="351" t="s">
        <v>712</v>
      </c>
      <c r="G26" s="351" t="s">
        <v>15515</v>
      </c>
      <c r="H26" s="347" t="s">
        <v>15628</v>
      </c>
      <c r="I26" s="219" t="s">
        <v>1638</v>
      </c>
      <c r="J26" s="219" t="s">
        <v>1610</v>
      </c>
      <c r="K26" s="347" t="s">
        <v>15629</v>
      </c>
      <c r="L26" s="348" t="s">
        <v>2483</v>
      </c>
      <c r="M26" s="348" t="s">
        <v>15623</v>
      </c>
      <c r="N26" s="348" t="s">
        <v>15630</v>
      </c>
      <c r="O26" s="219" t="s">
        <v>1610</v>
      </c>
      <c r="P26" s="348" t="s">
        <v>498</v>
      </c>
      <c r="Q26" s="349"/>
      <c r="R26" s="217" t="str">
        <f ca="1">IF(ISERROR($V26),"",OFFSET('Smelter Look-up'!$C$4,$V26-4,0)&amp;"")</f>
        <v>Kojima Chemicals Co., Ltd.</v>
      </c>
      <c r="S26" s="225" t="str">
        <f t="shared" ca="1" si="3"/>
        <v>JP</v>
      </c>
      <c r="T26" s="225" t="str">
        <f ca="1">IF(B26="","",IF(ISERROR(MATCH($J26,SorP!$B$1:$B$6230,0)),"",INDIRECT("'SorP'!$A$"&amp;MATCH($J26,SorP!$B$1:$B$6230,0))))</f>
        <v>JP-11</v>
      </c>
      <c r="U26" s="241"/>
      <c r="V26" s="275">
        <f>IF(C26="",NA(),MATCH($B26&amp;$C26,'Smelter Look-up'!$J:$J,0))</f>
        <v>128</v>
      </c>
      <c r="W26" s="276"/>
      <c r="X26" s="276">
        <f t="shared" si="4"/>
        <v>0</v>
      </c>
      <c r="Y26" s="276"/>
      <c r="Z26" s="276"/>
      <c r="AB26" s="278" t="str">
        <f t="shared" si="5"/>
        <v>GoldKojima Chemicals Co., Ltd.</v>
      </c>
    </row>
    <row r="27" spans="1:28" s="277" customFormat="1" ht="51">
      <c r="A27" s="350" t="s">
        <v>15631</v>
      </c>
      <c r="B27" s="351" t="s">
        <v>1153</v>
      </c>
      <c r="C27" s="352" t="s">
        <v>58</v>
      </c>
      <c r="D27" s="351" t="s">
        <v>58</v>
      </c>
      <c r="E27" s="351" t="s">
        <v>15632</v>
      </c>
      <c r="F27" s="351" t="s">
        <v>716</v>
      </c>
      <c r="G27" s="351" t="s">
        <v>15515</v>
      </c>
      <c r="H27" s="347" t="s">
        <v>15633</v>
      </c>
      <c r="I27" s="219" t="s">
        <v>1643</v>
      </c>
      <c r="J27" s="219" t="s">
        <v>15634</v>
      </c>
      <c r="K27" s="348" t="s">
        <v>15635</v>
      </c>
      <c r="L27" s="348" t="s">
        <v>15636</v>
      </c>
      <c r="M27" s="348" t="s">
        <v>15637</v>
      </c>
      <c r="N27" s="348" t="s">
        <v>15638</v>
      </c>
      <c r="O27" s="348" t="s">
        <v>15639</v>
      </c>
      <c r="P27" s="348" t="s">
        <v>14249</v>
      </c>
      <c r="Q27" s="349" t="s">
        <v>15640</v>
      </c>
      <c r="R27" s="217" t="str">
        <f ca="1">IF(ISERROR($V27),"",OFFSET('Smelter Look-up'!$C$4,$V27-4,0)&amp;"")</f>
        <v>LS-NIKKO Copper Inc.</v>
      </c>
      <c r="S27" s="225" t="str">
        <f t="shared" ca="1" si="3"/>
        <v>Unknown</v>
      </c>
      <c r="T27" s="225" t="str">
        <f ca="1">IF(B27="","",IF(ISERROR(MATCH($J27,SorP!$B$1:$B$6230,0)),"",INDIRECT("'SorP'!$A$"&amp;MATCH($J27,SorP!$B$1:$B$6230,0))))</f>
        <v/>
      </c>
      <c r="U27" s="241"/>
      <c r="V27" s="275">
        <f>IF(C27="",NA(),MATCH($B27&amp;$C27,'Smelter Look-up'!$J:$J,0))</f>
        <v>143</v>
      </c>
      <c r="W27" s="276"/>
      <c r="X27" s="276">
        <f t="shared" si="4"/>
        <v>0</v>
      </c>
      <c r="Y27" s="276"/>
      <c r="Z27" s="276"/>
      <c r="AB27" s="278" t="str">
        <f t="shared" si="5"/>
        <v>GoldLS-NIKKO Copper Inc.</v>
      </c>
    </row>
    <row r="28" spans="1:28" s="277" customFormat="1" ht="25.5">
      <c r="A28" s="350" t="s">
        <v>15641</v>
      </c>
      <c r="B28" s="351" t="s">
        <v>1153</v>
      </c>
      <c r="C28" s="352" t="s">
        <v>933</v>
      </c>
      <c r="D28" s="351" t="s">
        <v>933</v>
      </c>
      <c r="E28" s="351" t="s">
        <v>2576</v>
      </c>
      <c r="F28" s="351" t="s">
        <v>719</v>
      </c>
      <c r="G28" s="351" t="s">
        <v>15507</v>
      </c>
      <c r="H28" s="347" t="s">
        <v>15642</v>
      </c>
      <c r="I28" s="219" t="s">
        <v>1646</v>
      </c>
      <c r="J28" s="219" t="s">
        <v>1647</v>
      </c>
      <c r="K28" s="348" t="s">
        <v>15643</v>
      </c>
      <c r="L28" s="348" t="s">
        <v>15644</v>
      </c>
      <c r="M28" s="348" t="s">
        <v>15645</v>
      </c>
      <c r="N28" s="348" t="s">
        <v>15646</v>
      </c>
      <c r="O28" s="348" t="s">
        <v>15647</v>
      </c>
      <c r="P28" s="348" t="s">
        <v>499</v>
      </c>
      <c r="Q28" s="349" t="s">
        <v>15640</v>
      </c>
      <c r="R28" s="217" t="str">
        <f ca="1">IF(ISERROR($V28),"",OFFSET('Smelter Look-up'!$C$4,$V28-4,0)&amp;"")</f>
        <v>Materion</v>
      </c>
      <c r="S28" s="225" t="str">
        <f t="shared" ca="1" si="3"/>
        <v>US</v>
      </c>
      <c r="T28" s="225" t="str">
        <f ca="1">IF(B28="","",IF(ISERROR(MATCH($J28,SorP!$B$1:$B$6230,0)),"",INDIRECT("'SorP'!$A$"&amp;MATCH($J28,SorP!$B$1:$B$6230,0))))</f>
        <v>US-NY</v>
      </c>
      <c r="U28" s="241"/>
      <c r="V28" s="275">
        <f>IF(C28="",NA(),MATCH($B28&amp;$C28,'Smelter Look-up'!$J:$J,0))</f>
        <v>149</v>
      </c>
      <c r="W28" s="276"/>
      <c r="X28" s="276">
        <f t="shared" si="4"/>
        <v>0</v>
      </c>
      <c r="Y28" s="276"/>
      <c r="Z28" s="276"/>
      <c r="AB28" s="278" t="str">
        <f t="shared" si="5"/>
        <v>GoldMaterion</v>
      </c>
    </row>
    <row r="29" spans="1:28" s="277" customFormat="1" ht="89.25">
      <c r="A29" s="350" t="s">
        <v>15648</v>
      </c>
      <c r="B29" s="351" t="s">
        <v>1153</v>
      </c>
      <c r="C29" s="352" t="s">
        <v>2255</v>
      </c>
      <c r="D29" s="351" t="s">
        <v>2255</v>
      </c>
      <c r="E29" s="351" t="s">
        <v>1123</v>
      </c>
      <c r="F29" s="351" t="s">
        <v>721</v>
      </c>
      <c r="G29" s="351" t="s">
        <v>15507</v>
      </c>
      <c r="H29" s="347" t="s">
        <v>15649</v>
      </c>
      <c r="I29" s="219" t="s">
        <v>1651</v>
      </c>
      <c r="J29" s="219" t="s">
        <v>15650</v>
      </c>
      <c r="K29" s="348" t="s">
        <v>15651</v>
      </c>
      <c r="L29" s="348" t="s">
        <v>15652</v>
      </c>
      <c r="M29" s="348" t="s">
        <v>15653</v>
      </c>
      <c r="N29" s="348" t="s">
        <v>15654</v>
      </c>
      <c r="O29" s="348" t="s">
        <v>15655</v>
      </c>
      <c r="P29" s="348" t="s">
        <v>14249</v>
      </c>
      <c r="Q29" s="349" t="s">
        <v>15640</v>
      </c>
      <c r="R29" s="217" t="str">
        <f ca="1">IF(ISERROR($V29),"",OFFSET('Smelter Look-up'!$C$4,$V29-4,0)&amp;"")</f>
        <v>Metalor Technologies (Hong Kong) Ltd.</v>
      </c>
      <c r="S29" s="225" t="str">
        <f t="shared" ca="1" si="3"/>
        <v>CN</v>
      </c>
      <c r="T29" s="225" t="str">
        <f ca="1">IF(B29="","",IF(ISERROR(MATCH($J29,SorP!$B$1:$B$6230,0)),"",INDIRECT("'SorP'!$A$"&amp;MATCH($J29,SorP!$B$1:$B$6230,0))))</f>
        <v/>
      </c>
      <c r="U29" s="241"/>
      <c r="V29" s="275">
        <f>IF(C29="",NA(),MATCH($B29&amp;$C29,'Smelter Look-up'!$J:$J,0))</f>
        <v>155</v>
      </c>
      <c r="W29" s="276"/>
      <c r="X29" s="276">
        <f t="shared" si="4"/>
        <v>0</v>
      </c>
      <c r="Y29" s="276"/>
      <c r="Z29" s="276"/>
      <c r="AB29" s="278" t="str">
        <f t="shared" si="5"/>
        <v>GoldMetalor Technologies (Hong Kong) Ltd.</v>
      </c>
    </row>
    <row r="30" spans="1:28" s="277" customFormat="1" ht="63.75">
      <c r="A30" s="350" t="s">
        <v>15656</v>
      </c>
      <c r="B30" s="351" t="s">
        <v>1153</v>
      </c>
      <c r="C30" s="352" t="s">
        <v>2431</v>
      </c>
      <c r="D30" s="351" t="s">
        <v>2431</v>
      </c>
      <c r="E30" s="351" t="s">
        <v>1121</v>
      </c>
      <c r="F30" s="351" t="s">
        <v>723</v>
      </c>
      <c r="G30" s="351" t="s">
        <v>15515</v>
      </c>
      <c r="H30" s="347" t="s">
        <v>15657</v>
      </c>
      <c r="I30" s="219" t="s">
        <v>1652</v>
      </c>
      <c r="J30" s="219" t="s">
        <v>1653</v>
      </c>
      <c r="K30" s="348" t="s">
        <v>15658</v>
      </c>
      <c r="L30" s="348" t="s">
        <v>15659</v>
      </c>
      <c r="M30" s="348" t="s">
        <v>15653</v>
      </c>
      <c r="N30" s="348" t="s">
        <v>15660</v>
      </c>
      <c r="O30" s="348" t="s">
        <v>15661</v>
      </c>
      <c r="P30" s="348" t="s">
        <v>14249</v>
      </c>
      <c r="Q30" s="349" t="s">
        <v>15640</v>
      </c>
      <c r="R30" s="217" t="str">
        <f ca="1">IF(ISERROR($V30),"",OFFSET('Smelter Look-up'!$C$4,$V30-4,0)&amp;"")</f>
        <v>Metalor Technologies S.A.</v>
      </c>
      <c r="S30" s="225" t="str">
        <f t="shared" ca="1" si="3"/>
        <v>CH</v>
      </c>
      <c r="T30" s="225" t="str">
        <f ca="1">IF(B30="","",IF(ISERROR(MATCH($J30,SorP!$B$1:$B$6230,0)),"",INDIRECT("'SorP'!$A$"&amp;MATCH($J30,SorP!$B$1:$B$6230,0))))</f>
        <v>CH-NE</v>
      </c>
      <c r="U30" s="241"/>
      <c r="V30" s="275">
        <f>IF(C30="",NA(),MATCH($B30&amp;$C30,'Smelter Look-up'!$J:$J,0))</f>
        <v>158</v>
      </c>
      <c r="W30" s="276"/>
      <c r="X30" s="276">
        <f t="shared" si="4"/>
        <v>0</v>
      </c>
      <c r="Y30" s="276"/>
      <c r="Z30" s="276"/>
      <c r="AB30" s="278" t="str">
        <f t="shared" si="5"/>
        <v>GoldMetalor Technologies S.A.</v>
      </c>
    </row>
    <row r="31" spans="1:28" s="277" customFormat="1" ht="63.75">
      <c r="A31" s="350" t="s">
        <v>15662</v>
      </c>
      <c r="B31" s="351" t="s">
        <v>1153</v>
      </c>
      <c r="C31" s="352" t="s">
        <v>1252</v>
      </c>
      <c r="D31" s="351" t="s">
        <v>1252</v>
      </c>
      <c r="E31" s="351" t="s">
        <v>2576</v>
      </c>
      <c r="F31" s="351" t="s">
        <v>724</v>
      </c>
      <c r="G31" s="351" t="s">
        <v>15515</v>
      </c>
      <c r="H31" s="347" t="s">
        <v>15663</v>
      </c>
      <c r="I31" s="219" t="s">
        <v>1654</v>
      </c>
      <c r="J31" s="219" t="s">
        <v>1655</v>
      </c>
      <c r="K31" s="348" t="s">
        <v>15664</v>
      </c>
      <c r="L31" s="348" t="s">
        <v>15665</v>
      </c>
      <c r="M31" s="348" t="s">
        <v>15653</v>
      </c>
      <c r="N31" s="348" t="s">
        <v>15567</v>
      </c>
      <c r="O31" s="348" t="s">
        <v>15666</v>
      </c>
      <c r="P31" s="348" t="s">
        <v>14249</v>
      </c>
      <c r="Q31" s="349" t="s">
        <v>15640</v>
      </c>
      <c r="R31" s="217" t="str">
        <f ca="1">IF(ISERROR($V31),"",OFFSET('Smelter Look-up'!$C$4,$V31-4,0)&amp;"")</f>
        <v>Metalor USA Refining Corporation</v>
      </c>
      <c r="S31" s="225" t="str">
        <f t="shared" ca="1" si="3"/>
        <v>US</v>
      </c>
      <c r="T31" s="225" t="str">
        <f ca="1">IF(B31="","",IF(ISERROR(MATCH($J31,SorP!$B$1:$B$6230,0)),"",INDIRECT("'SorP'!$A$"&amp;MATCH($J31,SorP!$B$1:$B$6230,0))))</f>
        <v>US-MA</v>
      </c>
      <c r="U31" s="241"/>
      <c r="V31" s="275">
        <f>IF(C31="",NA(),MATCH($B31&amp;$C31,'Smelter Look-up'!$J:$J,0))</f>
        <v>159</v>
      </c>
      <c r="W31" s="276"/>
      <c r="X31" s="276">
        <f t="shared" si="4"/>
        <v>0</v>
      </c>
      <c r="Y31" s="276"/>
      <c r="Z31" s="276"/>
      <c r="AB31" s="278" t="str">
        <f t="shared" si="5"/>
        <v>GoldMetalor USA Refining Corporation</v>
      </c>
    </row>
    <row r="32" spans="1:28" s="277" customFormat="1" ht="76.5">
      <c r="A32" s="350" t="s">
        <v>15667</v>
      </c>
      <c r="B32" s="351" t="s">
        <v>1153</v>
      </c>
      <c r="C32" s="352" t="s">
        <v>2433</v>
      </c>
      <c r="D32" s="351" t="s">
        <v>2433</v>
      </c>
      <c r="E32" s="351" t="s">
        <v>1136</v>
      </c>
      <c r="F32" s="351" t="s">
        <v>725</v>
      </c>
      <c r="G32" s="351" t="s">
        <v>15515</v>
      </c>
      <c r="H32" s="347" t="s">
        <v>15668</v>
      </c>
      <c r="I32" s="219" t="s">
        <v>1656</v>
      </c>
      <c r="J32" s="219" t="s">
        <v>15669</v>
      </c>
      <c r="K32" s="348" t="s">
        <v>15670</v>
      </c>
      <c r="L32" s="348" t="s">
        <v>15671</v>
      </c>
      <c r="M32" s="348" t="s">
        <v>15672</v>
      </c>
      <c r="N32" s="348" t="s">
        <v>15567</v>
      </c>
      <c r="O32" s="348" t="s">
        <v>15574</v>
      </c>
      <c r="P32" s="348" t="s">
        <v>499</v>
      </c>
      <c r="Q32" s="349" t="s">
        <v>15547</v>
      </c>
      <c r="R32" s="217" t="str">
        <f ca="1">IF(ISERROR($V32),"",OFFSET('Smelter Look-up'!$C$4,$V32-4,0)&amp;"")</f>
        <v>Metalurgica Met-Mex Penoles S.A. De C.V.</v>
      </c>
      <c r="S32" s="225" t="str">
        <f t="shared" ca="1" si="3"/>
        <v>MX</v>
      </c>
      <c r="T32" s="225" t="str">
        <f ca="1">IF(B32="","",IF(ISERROR(MATCH($J32,SorP!$B$1:$B$6230,0)),"",INDIRECT("'SorP'!$A$"&amp;MATCH($J32,SorP!$B$1:$B$6230,0))))</f>
        <v/>
      </c>
      <c r="U32" s="241"/>
      <c r="V32" s="275">
        <f>IF(C32="",NA(),MATCH($B32&amp;$C32,'Smelter Look-up'!$J:$J,0))</f>
        <v>161</v>
      </c>
      <c r="W32" s="276"/>
      <c r="X32" s="276">
        <f t="shared" si="4"/>
        <v>0</v>
      </c>
      <c r="Y32" s="276"/>
      <c r="Z32" s="276"/>
      <c r="AB32" s="278" t="str">
        <f t="shared" si="5"/>
        <v>GoldMetalúrgica Met-Mex Peñoles S.A. De C.V.</v>
      </c>
    </row>
    <row r="33" spans="1:28" s="277" customFormat="1" ht="51">
      <c r="A33" s="350" t="s">
        <v>15673</v>
      </c>
      <c r="B33" s="351" t="s">
        <v>1153</v>
      </c>
      <c r="C33" s="352" t="s">
        <v>2259</v>
      </c>
      <c r="D33" s="351" t="s">
        <v>2259</v>
      </c>
      <c r="E33" s="351" t="s">
        <v>1131</v>
      </c>
      <c r="F33" s="351" t="s">
        <v>731</v>
      </c>
      <c r="G33" s="351" t="s">
        <v>15515</v>
      </c>
      <c r="H33" s="347" t="s">
        <v>15674</v>
      </c>
      <c r="I33" s="219" t="s">
        <v>1664</v>
      </c>
      <c r="J33" s="219" t="s">
        <v>1665</v>
      </c>
      <c r="K33" s="348" t="s">
        <v>15675</v>
      </c>
      <c r="L33" s="348" t="s">
        <v>15676</v>
      </c>
      <c r="M33" s="348" t="s">
        <v>15677</v>
      </c>
      <c r="N33" s="348" t="s">
        <v>15567</v>
      </c>
      <c r="O33" s="348" t="s">
        <v>15678</v>
      </c>
      <c r="P33" s="348" t="s">
        <v>499</v>
      </c>
      <c r="Q33" s="349" t="s">
        <v>15640</v>
      </c>
      <c r="R33" s="217" t="str">
        <f ca="1">IF(ISERROR($V33),"",OFFSET('Smelter Look-up'!$C$4,$V33-4,0)&amp;"")</f>
        <v>Nihon Material Co., Ltd.</v>
      </c>
      <c r="S33" s="225" t="str">
        <f t="shared" ca="1" si="3"/>
        <v>JP</v>
      </c>
      <c r="T33" s="225" t="str">
        <f ca="1">IF(B33="","",IF(ISERROR(MATCH($J33,SorP!$B$1:$B$6230,0)),"",INDIRECT("'SorP'!$A$"&amp;MATCH($J33,SorP!$B$1:$B$6230,0))))</f>
        <v>JP-12</v>
      </c>
      <c r="U33" s="241"/>
      <c r="V33" s="275">
        <f>IF(C33="",NA(),MATCH($B33&amp;$C33,'Smelter Look-up'!$J:$J,0))</f>
        <v>175</v>
      </c>
      <c r="W33" s="276"/>
      <c r="X33" s="276">
        <f t="shared" si="4"/>
        <v>0</v>
      </c>
      <c r="Y33" s="276"/>
      <c r="Z33" s="276"/>
      <c r="AB33" s="278" t="str">
        <f t="shared" si="5"/>
        <v>GoldNihon Material Co., Ltd.</v>
      </c>
    </row>
    <row r="34" spans="1:28" s="277" customFormat="1" ht="76.5">
      <c r="A34" s="350" t="s">
        <v>15679</v>
      </c>
      <c r="B34" s="351" t="s">
        <v>1153</v>
      </c>
      <c r="C34" s="352" t="s">
        <v>2260</v>
      </c>
      <c r="D34" s="351" t="s">
        <v>2260</v>
      </c>
      <c r="E34" s="351" t="s">
        <v>1131</v>
      </c>
      <c r="F34" s="351" t="s">
        <v>732</v>
      </c>
      <c r="G34" s="351" t="s">
        <v>15515</v>
      </c>
      <c r="H34" s="347" t="s">
        <v>15680</v>
      </c>
      <c r="I34" s="219" t="s">
        <v>1667</v>
      </c>
      <c r="J34" s="219" t="s">
        <v>1668</v>
      </c>
      <c r="K34" s="348" t="s">
        <v>2483</v>
      </c>
      <c r="L34" s="348" t="s">
        <v>2483</v>
      </c>
      <c r="M34" s="348" t="s">
        <v>15553</v>
      </c>
      <c r="N34" s="348" t="s">
        <v>15520</v>
      </c>
      <c r="O34" s="348" t="s">
        <v>15521</v>
      </c>
      <c r="P34" s="348"/>
      <c r="Q34" s="349"/>
      <c r="R34" s="217" t="str">
        <f ca="1">IF(ISERROR($V34),"",OFFSET('Smelter Look-up'!$C$4,$V34-4,0)&amp;"")</f>
        <v>Ohura Precious Metal Industry Co., Ltd.</v>
      </c>
      <c r="S34" s="225" t="str">
        <f t="shared" ca="1" si="3"/>
        <v>JP</v>
      </c>
      <c r="T34" s="225" t="str">
        <f ca="1">IF(B34="","",IF(ISERROR(MATCH($J34,SorP!$B$1:$B$6230,0)),"",INDIRECT("'SorP'!$A$"&amp;MATCH($J34,SorP!$B$1:$B$6230,0))))</f>
        <v>JP-29</v>
      </c>
      <c r="U34" s="241"/>
      <c r="V34" s="275">
        <f>IF(C34="",NA(),MATCH($B34&amp;$C34,'Smelter Look-up'!$J:$J,0))</f>
        <v>180</v>
      </c>
      <c r="W34" s="276"/>
      <c r="X34" s="276">
        <f t="shared" si="4"/>
        <v>0</v>
      </c>
      <c r="Y34" s="276"/>
      <c r="Z34" s="276"/>
      <c r="AB34" s="278" t="str">
        <f t="shared" si="5"/>
        <v>GoldOhura Precious Metal Industry Co., Ltd.</v>
      </c>
    </row>
    <row r="35" spans="1:28" s="277" customFormat="1" ht="153">
      <c r="A35" s="350" t="s">
        <v>15681</v>
      </c>
      <c r="B35" s="351" t="s">
        <v>1153</v>
      </c>
      <c r="C35" s="352" t="s">
        <v>2369</v>
      </c>
      <c r="D35" s="351" t="s">
        <v>2369</v>
      </c>
      <c r="E35" s="351" t="s">
        <v>906</v>
      </c>
      <c r="F35" s="351" t="s">
        <v>733</v>
      </c>
      <c r="G35" s="351" t="s">
        <v>15515</v>
      </c>
      <c r="H35" s="347" t="s">
        <v>15682</v>
      </c>
      <c r="I35" s="219" t="s">
        <v>1669</v>
      </c>
      <c r="J35" s="219" t="s">
        <v>15683</v>
      </c>
      <c r="K35" s="348" t="s">
        <v>2483</v>
      </c>
      <c r="L35" s="348" t="s">
        <v>2483</v>
      </c>
      <c r="M35" s="348" t="s">
        <v>15548</v>
      </c>
      <c r="N35" s="348" t="s">
        <v>15520</v>
      </c>
      <c r="O35" s="219" t="s">
        <v>15683</v>
      </c>
      <c r="P35" s="348"/>
      <c r="Q35" s="349"/>
      <c r="R35" s="217" t="str">
        <f ca="1">IF(ISERROR($V35),"",OFFSET('Smelter Look-up'!$C$4,$V35-4,0)&amp;"")</f>
        <v>OJSC "The Gulidov Krasnoyarsk Non-Ferrous Metals Plant" (OJSC Krastsvetmet)</v>
      </c>
      <c r="S35" s="225" t="str">
        <f t="shared" ca="1" si="3"/>
        <v>RU</v>
      </c>
      <c r="T35" s="225" t="str">
        <f ca="1">IF(B35="","",IF(ISERROR(MATCH($J35,SorP!$B$1:$B$6230,0)),"",INDIRECT("'SorP'!$A$"&amp;MATCH($J35,SorP!$B$1:$B$6230,0))))</f>
        <v/>
      </c>
      <c r="U35" s="241"/>
      <c r="V35" s="275">
        <f>IF(C35="",NA(),MATCH($B35&amp;$C35,'Smelter Look-up'!$J:$J,0))</f>
        <v>181</v>
      </c>
      <c r="W35" s="276"/>
      <c r="X35" s="276">
        <f t="shared" si="4"/>
        <v>0</v>
      </c>
      <c r="Y35" s="276"/>
      <c r="Z35" s="276"/>
      <c r="AB35" s="278" t="str">
        <f t="shared" si="5"/>
        <v>GoldOJSC "The Gulidov Krasnoyarsk Non-Ferrous Metals Plant" (OJSC Krastsvetmet)</v>
      </c>
    </row>
    <row r="36" spans="1:28" s="277" customFormat="1" ht="76.5">
      <c r="A36" s="350" t="s">
        <v>15684</v>
      </c>
      <c r="B36" s="351" t="s">
        <v>1153</v>
      </c>
      <c r="C36" s="352" t="s">
        <v>935</v>
      </c>
      <c r="D36" s="351" t="s">
        <v>935</v>
      </c>
      <c r="E36" s="351" t="s">
        <v>906</v>
      </c>
      <c r="F36" s="351" t="s">
        <v>736</v>
      </c>
      <c r="G36" s="351" t="s">
        <v>15515</v>
      </c>
      <c r="H36" s="347" t="s">
        <v>15682</v>
      </c>
      <c r="I36" s="219" t="s">
        <v>1672</v>
      </c>
      <c r="J36" s="219" t="s">
        <v>15685</v>
      </c>
      <c r="K36" s="348" t="s">
        <v>2483</v>
      </c>
      <c r="L36" s="348" t="s">
        <v>2483</v>
      </c>
      <c r="M36" s="348" t="s">
        <v>15548</v>
      </c>
      <c r="N36" s="348" t="s">
        <v>15520</v>
      </c>
      <c r="O36" s="219" t="s">
        <v>15685</v>
      </c>
      <c r="P36" s="348"/>
      <c r="Q36" s="349"/>
      <c r="R36" s="217" t="str">
        <f ca="1">IF(ISERROR($V36),"",OFFSET('Smelter Look-up'!$C$4,$V36-4,0)&amp;"")</f>
        <v>Prioksky Plant of Non-Ferrous Metals</v>
      </c>
      <c r="S36" s="225" t="str">
        <f t="shared" ca="1" si="3"/>
        <v>RU</v>
      </c>
      <c r="T36" s="225" t="str">
        <f ca="1">IF(B36="","",IF(ISERROR(MATCH($J36,SorP!$B$1:$B$6230,0)),"",INDIRECT("'SorP'!$A$"&amp;MATCH($J36,SorP!$B$1:$B$6230,0))))</f>
        <v/>
      </c>
      <c r="U36" s="241"/>
      <c r="V36" s="275">
        <f>IF(C36="",NA(),MATCH($B36&amp;$C36,'Smelter Look-up'!$J:$J,0))</f>
        <v>191</v>
      </c>
      <c r="W36" s="276"/>
      <c r="X36" s="276">
        <f t="shared" si="4"/>
        <v>0</v>
      </c>
      <c r="Y36" s="276"/>
      <c r="Z36" s="276"/>
      <c r="AB36" s="278" t="str">
        <f t="shared" si="5"/>
        <v>GoldPrioksky Plant of Non-Ferrous Metals</v>
      </c>
    </row>
    <row r="37" spans="1:28" s="277" customFormat="1" ht="38.25">
      <c r="A37" s="350" t="s">
        <v>15686</v>
      </c>
      <c r="B37" s="351" t="s">
        <v>1153</v>
      </c>
      <c r="C37" s="352" t="s">
        <v>2440</v>
      </c>
      <c r="D37" s="351" t="s">
        <v>2440</v>
      </c>
      <c r="E37" s="351" t="s">
        <v>1121</v>
      </c>
      <c r="F37" s="351" t="s">
        <v>738</v>
      </c>
      <c r="G37" s="351" t="s">
        <v>15507</v>
      </c>
      <c r="H37" s="347" t="s">
        <v>15687</v>
      </c>
      <c r="I37" s="219" t="s">
        <v>1674</v>
      </c>
      <c r="J37" s="219" t="s">
        <v>1653</v>
      </c>
      <c r="K37" s="348" t="s">
        <v>15688</v>
      </c>
      <c r="L37" s="348" t="s">
        <v>15689</v>
      </c>
      <c r="M37" s="348" t="s">
        <v>15690</v>
      </c>
      <c r="N37" s="348" t="s">
        <v>15520</v>
      </c>
      <c r="O37" s="348" t="s">
        <v>15588</v>
      </c>
      <c r="P37" s="348" t="s">
        <v>14249</v>
      </c>
      <c r="Q37" s="349" t="s">
        <v>15640</v>
      </c>
      <c r="R37" s="217" t="str">
        <f ca="1">IF(ISERROR($V37),"",OFFSET('Smelter Look-up'!$C$4,$V37-4,0)&amp;"")</f>
        <v>PX Precinox S.A.</v>
      </c>
      <c r="S37" s="225" t="str">
        <f t="shared" ca="1" si="3"/>
        <v>CH</v>
      </c>
      <c r="T37" s="225" t="str">
        <f ca="1">IF(B37="","",IF(ISERROR(MATCH($J37,SorP!$B$1:$B$6230,0)),"",INDIRECT("'SorP'!$A$"&amp;MATCH($J37,SorP!$B$1:$B$6230,0))))</f>
        <v>CH-NE</v>
      </c>
      <c r="U37" s="241"/>
      <c r="V37" s="275">
        <f>IF(C37="",NA(),MATCH($B37&amp;$C37,'Smelter Look-up'!$J:$J,0))</f>
        <v>195</v>
      </c>
      <c r="W37" s="276"/>
      <c r="X37" s="276">
        <f t="shared" si="4"/>
        <v>0</v>
      </c>
      <c r="Y37" s="276"/>
      <c r="Z37" s="276"/>
      <c r="AB37" s="278" t="str">
        <f t="shared" si="5"/>
        <v>GoldPX Précinox S.A.</v>
      </c>
    </row>
    <row r="38" spans="1:28" s="277" customFormat="1" ht="51">
      <c r="A38" s="350" t="s">
        <v>15691</v>
      </c>
      <c r="B38" s="351" t="s">
        <v>1153</v>
      </c>
      <c r="C38" s="352" t="s">
        <v>936</v>
      </c>
      <c r="D38" s="351" t="s">
        <v>936</v>
      </c>
      <c r="E38" s="351" t="s">
        <v>1120</v>
      </c>
      <c r="F38" s="351" t="s">
        <v>740</v>
      </c>
      <c r="G38" s="351" t="s">
        <v>15515</v>
      </c>
      <c r="H38" s="347" t="s">
        <v>15692</v>
      </c>
      <c r="I38" s="219" t="s">
        <v>1677</v>
      </c>
      <c r="J38" s="219" t="s">
        <v>1633</v>
      </c>
      <c r="K38" s="348" t="s">
        <v>15693</v>
      </c>
      <c r="L38" s="348" t="s">
        <v>15694</v>
      </c>
      <c r="M38" s="348" t="s">
        <v>15695</v>
      </c>
      <c r="N38" s="348" t="s">
        <v>15696</v>
      </c>
      <c r="O38" s="348" t="s">
        <v>15697</v>
      </c>
      <c r="P38" s="348" t="s">
        <v>14249</v>
      </c>
      <c r="Q38" s="349" t="s">
        <v>15640</v>
      </c>
      <c r="R38" s="217" t="str">
        <f ca="1">IF(ISERROR($V38),"",OFFSET('Smelter Look-up'!$C$4,$V38-4,0)&amp;"")</f>
        <v>Royal Canadian Mint</v>
      </c>
      <c r="S38" s="225" t="str">
        <f t="shared" ref="S38:S68" ca="1" si="6">IF(B38="","",IF(ISERROR(MATCH($E38,CL,0)),"Unknown",INDIRECT("'C'!$A$"&amp;MATCH($E38,CL,0)+1)))</f>
        <v>CA</v>
      </c>
      <c r="T38" s="225" t="str">
        <f ca="1">IF(B38="","",IF(ISERROR(MATCH($J38,SorP!$B$1:$B$6230,0)),"",INDIRECT("'SorP'!$A$"&amp;MATCH($J38,SorP!$B$1:$B$6230,0))))</f>
        <v>CA-ON</v>
      </c>
      <c r="U38" s="241"/>
      <c r="V38" s="275">
        <f>IF(C38="",NA(),MATCH($B38&amp;$C38,'Smelter Look-up'!$J:$J,0))</f>
        <v>202</v>
      </c>
      <c r="W38" s="276"/>
      <c r="X38" s="276">
        <f t="shared" ref="X38:X68" si="7">IF(AND(C38="Smelter not listed",OR(LEN(D38)=0,LEN(E38)=0)),1,0)</f>
        <v>0</v>
      </c>
      <c r="Y38" s="276"/>
      <c r="Z38" s="276"/>
      <c r="AB38" s="278" t="str">
        <f t="shared" ref="AB38:AB68" si="8">B38&amp;C38</f>
        <v>GoldRoyal Canadian Mint</v>
      </c>
    </row>
    <row r="39" spans="1:28" s="277" customFormat="1" ht="63.75">
      <c r="A39" s="350" t="s">
        <v>15698</v>
      </c>
      <c r="B39" s="351" t="s">
        <v>1153</v>
      </c>
      <c r="C39" s="352" t="s">
        <v>2450</v>
      </c>
      <c r="D39" s="351" t="s">
        <v>2450</v>
      </c>
      <c r="E39" s="351" t="s">
        <v>1125</v>
      </c>
      <c r="F39" s="351" t="s">
        <v>743</v>
      </c>
      <c r="G39" s="351" t="s">
        <v>15515</v>
      </c>
      <c r="H39" s="347" t="s">
        <v>15699</v>
      </c>
      <c r="I39" s="219" t="s">
        <v>1683</v>
      </c>
      <c r="J39" s="219" t="s">
        <v>15700</v>
      </c>
      <c r="K39" s="348" t="s">
        <v>15701</v>
      </c>
      <c r="L39" s="348" t="s">
        <v>15702</v>
      </c>
      <c r="M39" s="348" t="s">
        <v>15703</v>
      </c>
      <c r="N39" s="348" t="s">
        <v>15704</v>
      </c>
      <c r="O39" s="348" t="s">
        <v>15705</v>
      </c>
      <c r="P39" s="348" t="s">
        <v>14249</v>
      </c>
      <c r="Q39" s="349" t="s">
        <v>15640</v>
      </c>
      <c r="R39" s="217" t="str">
        <f ca="1">IF(ISERROR($V39),"",OFFSET('Smelter Look-up'!$C$4,$V39-4,0)&amp;"")</f>
        <v>SEMPSA Joyeria Plateria S.A.</v>
      </c>
      <c r="S39" s="225" t="str">
        <f t="shared" ca="1" si="6"/>
        <v>ES</v>
      </c>
      <c r="T39" s="225" t="str">
        <f ca="1">IF(B39="","",IF(ISERROR(MATCH($J39,SorP!$B$1:$B$6230,0)),"",INDIRECT("'SorP'!$A$"&amp;MATCH($J39,SorP!$B$1:$B$6230,0))))</f>
        <v/>
      </c>
      <c r="U39" s="241"/>
      <c r="V39" s="275">
        <f>IF(C39="",NA(),MATCH($B39&amp;$C39,'Smelter Look-up'!$J:$J,0))</f>
        <v>215</v>
      </c>
      <c r="W39" s="276"/>
      <c r="X39" s="276">
        <f t="shared" si="7"/>
        <v>0</v>
      </c>
      <c r="Y39" s="276"/>
      <c r="Z39" s="276"/>
      <c r="AB39" s="278" t="str">
        <f t="shared" si="8"/>
        <v>GoldSEMPSA Joyería Platería S.A.</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6" type="noConversion"/>
  <conditionalFormatting sqref="B586:B2504">
    <cfRule type="expression" dxfId="56" priority="51" stopIfTrue="1">
      <formula>IF(B586="",TRUE)</formula>
    </cfRule>
    <cfRule type="expression" dxfId="55" priority="62" stopIfTrue="1">
      <formula>IF(AND(COUNTIF(MetalSmelter,B586&amp;C586)=0,LEN(C586)&gt;0),TRUE,FALSE)</formula>
    </cfRule>
  </conditionalFormatting>
  <conditionalFormatting sqref="D586:D2504">
    <cfRule type="expression" dxfId="54" priority="45" stopIfTrue="1">
      <formula>IF(AND(LEN($C586)&gt;0,($C586&lt;&gt;"Smelter Not Listed")),1,0)</formula>
    </cfRule>
    <cfRule type="expression" dxfId="53" priority="70" stopIfTrue="1">
      <formula>IF(AND(D586="",$C586=$X$4),TRUE)</formula>
    </cfRule>
    <cfRule type="expression" dxfId="52" priority="71" stopIfTrue="1">
      <formula>IF(FIND("!",D586),TRUE)</formula>
    </cfRule>
  </conditionalFormatting>
  <conditionalFormatting sqref="G586:G2504">
    <cfRule type="expression" dxfId="51" priority="72" stopIfTrue="1">
      <formula>IF(FIND("Enter smelter details",G586),TRUE)</formula>
    </cfRule>
  </conditionalFormatting>
  <conditionalFormatting sqref="R586:R2505 E586:E2504">
    <cfRule type="expression" dxfId="50" priority="58" stopIfTrue="1">
      <formula>IF(AND(E586="",$C586=$X$4),TRUE)</formula>
    </cfRule>
    <cfRule type="expression" dxfId="49" priority="59" stopIfTrue="1">
      <formula>IF(FIND("!",E586),TRUE)</formula>
    </cfRule>
  </conditionalFormatting>
  <conditionalFormatting sqref="F586:F2504">
    <cfRule type="expression" dxfId="48" priority="49" stopIfTrue="1">
      <formula>IF(AND(LEN($A586)&gt;0,$A586&lt;&gt;$F586),TRUE,FALSE)</formula>
    </cfRule>
  </conditionalFormatting>
  <conditionalFormatting sqref="C586:C2504">
    <cfRule type="expression" dxfId="47" priority="48" stopIfTrue="1">
      <formula>IF(AND(B586&lt;&gt;"",C586=""),TRUE)</formula>
    </cfRule>
  </conditionalFormatting>
  <conditionalFormatting sqref="B40:B585">
    <cfRule type="expression" dxfId="46" priority="27" stopIfTrue="1">
      <formula>IF(B40="",TRUE)</formula>
    </cfRule>
    <cfRule type="expression" dxfId="45" priority="30" stopIfTrue="1">
      <formula>IF(AND(COUNTIF(MetalSmelter,B40&amp;C40)=0,LEN(C40)&gt;0),TRUE,FALSE)</formula>
    </cfRule>
  </conditionalFormatting>
  <conditionalFormatting sqref="D40:D585">
    <cfRule type="expression" dxfId="44" priority="24" stopIfTrue="1">
      <formula>IF(AND(LEN($C40)&gt;0,($C40&lt;&gt;"Smelter Not Listed")),1,0)</formula>
    </cfRule>
    <cfRule type="expression" dxfId="43" priority="31" stopIfTrue="1">
      <formula>IF(AND(D40="",$C40=$X$4),TRUE)</formula>
    </cfRule>
    <cfRule type="expression" dxfId="42" priority="32" stopIfTrue="1">
      <formula>IF(FIND("!",D40),TRUE)</formula>
    </cfRule>
  </conditionalFormatting>
  <conditionalFormatting sqref="G40:G585">
    <cfRule type="expression" dxfId="41" priority="33" stopIfTrue="1">
      <formula>IF(FIND("Enter smelter details",G40),TRUE)</formula>
    </cfRule>
  </conditionalFormatting>
  <conditionalFormatting sqref="R5:R585 E40:E585">
    <cfRule type="expression" dxfId="40" priority="28" stopIfTrue="1">
      <formula>IF(AND(E5="",$C5=$X$4),TRUE)</formula>
    </cfRule>
    <cfRule type="expression" dxfId="39" priority="29" stopIfTrue="1">
      <formula>IF(FIND("!",E5),TRUE)</formula>
    </cfRule>
  </conditionalFormatting>
  <conditionalFormatting sqref="F40:F585">
    <cfRule type="expression" dxfId="38" priority="26" stopIfTrue="1">
      <formula>IF(AND(LEN($A40)&gt;0,$A40&lt;&gt;$F40),TRUE,FALSE)</formula>
    </cfRule>
  </conditionalFormatting>
  <conditionalFormatting sqref="C40:C585">
    <cfRule type="expression" dxfId="37" priority="25" stopIfTrue="1">
      <formula>IF(AND(B40&lt;&gt;"",C40=""),TRUE)</formula>
    </cfRule>
  </conditionalFormatting>
  <conditionalFormatting sqref="B6:B39">
    <cfRule type="expression" dxfId="36" priority="10" stopIfTrue="1">
      <formula>IF(B6="",TRUE)</formula>
    </cfRule>
    <cfRule type="expression" dxfId="35" priority="13" stopIfTrue="1">
      <formula>IF(AND(COUNTIF(MetalSmelter,B6&amp;C6)=0,LEN(C6)&gt;0), TRUE, FALSE)</formula>
    </cfRule>
  </conditionalFormatting>
  <conditionalFormatting sqref="E6:E11">
    <cfRule type="expression" dxfId="34" priority="11" stopIfTrue="1">
      <formula>IF(AND(E6="",$C6=$X$4),TRUE)</formula>
    </cfRule>
    <cfRule type="expression" dxfId="33" priority="12" stopIfTrue="1">
      <formula>IF(FIND("!",E6),TRUE)</formula>
    </cfRule>
  </conditionalFormatting>
  <conditionalFormatting sqref="F6:F39">
    <cfRule type="expression" dxfId="32" priority="9" stopIfTrue="1">
      <formula>IF(AND(LEN($A6)&gt;0,$A6&lt;&gt;$F6),TRUE,FALSE)</formula>
    </cfRule>
  </conditionalFormatting>
  <conditionalFormatting sqref="C6:C39">
    <cfRule type="expression" dxfId="31" priority="8" stopIfTrue="1">
      <formula>IF(AND(B6&lt;&gt;"",C6=""),TRUE)</formula>
    </cfRule>
  </conditionalFormatting>
  <conditionalFormatting sqref="B5">
    <cfRule type="expression" dxfId="30" priority="3" stopIfTrue="1">
      <formula>IF(B5="",TRUE)</formula>
    </cfRule>
    <cfRule type="expression" dxfId="29" priority="4" stopIfTrue="1">
      <formula>IF(AND(COUNTIF(MetalSmelter,B5&amp;C5)=0,LEN(C5)&gt;0), TRUE, FALSE)</formula>
    </cfRule>
  </conditionalFormatting>
  <conditionalFormatting sqref="D5:E5 D6:D11 D12:E39">
    <cfRule type="expression" dxfId="28" priority="5" stopIfTrue="1">
      <formula>IF(AND(D5="",$C5=$U$4),TRUE)</formula>
    </cfRule>
    <cfRule type="expression" dxfId="27" priority="6" stopIfTrue="1">
      <formula>IF(FIND("!",D5),TRUE)</formula>
    </cfRule>
  </conditionalFormatting>
  <conditionalFormatting sqref="G5:G39">
    <cfRule type="expression" dxfId="26" priority="7" stopIfTrue="1">
      <formula>IF(FIND("Enter smelter details",G5),TRUE)</formula>
    </cfRule>
  </conditionalFormatting>
  <conditionalFormatting sqref="F5">
    <cfRule type="expression" dxfId="25" priority="2" stopIfTrue="1">
      <formula>IF(AND(LEN($A5)&gt;0,$A5&lt;&gt;$F5),TRUE,FALSE)</formula>
    </cfRule>
  </conditionalFormatting>
  <conditionalFormatting sqref="C5">
    <cfRule type="expression" dxfId="24" priority="1" stopIfTrue="1">
      <formula>IF(AND(B5&lt;&gt;"",C5=""),TRUE)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Delta Electronics (DongGuan) Co.,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All the production of DG FMBG</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ZHONGLIANG.XIAO</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ZHONGLIANG.XIAO@deltaww.com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 xml:space="preserve"> +86-0769-86329008 Ext: 2927</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 xml:space="preserve">JERRY.JY.KUO </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Jerry.jy.kuo@deltaww.com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43987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http://www.deltaww.com/fileCenter/about/download/Delta_Conflict_Minerals_Policy.pdf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6"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921</v>
      </c>
      <c r="C4" s="451"/>
      <c r="D4" s="451"/>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2020 Responsible Minerals Initiative. All rights reserved.</v>
      </c>
      <c r="C1001" s="454"/>
      <c r="D1001" s="454"/>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6"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5"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5" t="s">
        <v>14581</v>
      </c>
      <c r="G3" s="293" t="s">
        <v>1064</v>
      </c>
      <c r="H3" s="293" t="s">
        <v>877</v>
      </c>
      <c r="I3" s="293" t="s">
        <v>1065</v>
      </c>
      <c r="J3" s="293" t="s">
        <v>1066</v>
      </c>
      <c r="K3" s="287" t="s">
        <v>408</v>
      </c>
      <c r="L3" s="300" t="s">
        <v>1197</v>
      </c>
      <c r="M3" s="293" t="s">
        <v>15081</v>
      </c>
    </row>
    <row r="4" spans="1:13" ht="384.75">
      <c r="A4" s="293" t="str">
        <f t="shared" ref="A4:A27" si="1">B4&amp;C4</f>
        <v>InstructionsA3</v>
      </c>
      <c r="B4" s="293" t="s">
        <v>542</v>
      </c>
      <c r="C4" s="293" t="s">
        <v>649</v>
      </c>
      <c r="D4" s="293" t="s">
        <v>13618</v>
      </c>
      <c r="E4" s="328" t="s">
        <v>14483</v>
      </c>
      <c r="F4" s="345"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5"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5"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5"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5"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6"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5"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5"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5" t="s">
        <v>14589</v>
      </c>
      <c r="G12" s="293" t="s">
        <v>356</v>
      </c>
      <c r="H12" s="293" t="s">
        <v>436</v>
      </c>
      <c r="I12" s="293" t="s">
        <v>288</v>
      </c>
      <c r="J12" s="293" t="s">
        <v>1355</v>
      </c>
      <c r="K12" s="252" t="s">
        <v>126</v>
      </c>
      <c r="L12" s="300" t="s">
        <v>8</v>
      </c>
      <c r="M12" s="293" t="s">
        <v>15089</v>
      </c>
    </row>
    <row r="13" spans="1:13" ht="45">
      <c r="A13" s="293" t="str">
        <f t="shared" si="1"/>
        <v>InstructionsA13</v>
      </c>
      <c r="B13" s="293" t="s">
        <v>542</v>
      </c>
      <c r="C13" s="293" t="s">
        <v>1204</v>
      </c>
      <c r="D13" s="293" t="s">
        <v>421</v>
      </c>
      <c r="E13" s="257" t="s">
        <v>13638</v>
      </c>
      <c r="F13" s="345"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5" t="s">
        <v>14591</v>
      </c>
      <c r="G14" s="293" t="s">
        <v>358</v>
      </c>
      <c r="H14" s="293" t="s">
        <v>438</v>
      </c>
      <c r="I14" s="293" t="s">
        <v>290</v>
      </c>
      <c r="J14" s="293" t="s">
        <v>1385</v>
      </c>
      <c r="K14" s="252" t="s">
        <v>124</v>
      </c>
      <c r="L14" s="300" t="s">
        <v>10</v>
      </c>
      <c r="M14" s="293" t="s">
        <v>15091</v>
      </c>
    </row>
    <row r="15" spans="1:13" ht="30">
      <c r="A15" s="293" t="str">
        <f t="shared" si="1"/>
        <v>InstructionsA15</v>
      </c>
      <c r="B15" s="293" t="s">
        <v>542</v>
      </c>
      <c r="C15" s="293" t="s">
        <v>424</v>
      </c>
      <c r="D15" s="293" t="s">
        <v>423</v>
      </c>
      <c r="E15" s="257" t="s">
        <v>13640</v>
      </c>
      <c r="F15" s="345"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5" t="s">
        <v>14593</v>
      </c>
      <c r="G16" s="293" t="s">
        <v>360</v>
      </c>
      <c r="H16" s="293" t="s">
        <v>440</v>
      </c>
      <c r="I16" s="293" t="s">
        <v>292</v>
      </c>
      <c r="J16" s="293" t="s">
        <v>1358</v>
      </c>
      <c r="K16" s="287" t="s">
        <v>412</v>
      </c>
      <c r="L16" s="300" t="s">
        <v>12</v>
      </c>
      <c r="M16" s="293" t="s">
        <v>15093</v>
      </c>
    </row>
    <row r="17" spans="1:13" ht="28.5">
      <c r="A17" s="293" t="str">
        <f t="shared" si="1"/>
        <v>InstructionsA17</v>
      </c>
      <c r="B17" s="293" t="s">
        <v>542</v>
      </c>
      <c r="C17" s="293" t="s">
        <v>1207</v>
      </c>
      <c r="D17" s="293" t="s">
        <v>425</v>
      </c>
      <c r="E17" s="257" t="s">
        <v>13641</v>
      </c>
      <c r="F17" s="345"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5"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5"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5"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5"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5"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6" t="s">
        <v>14599</v>
      </c>
      <c r="G23" s="295" t="s">
        <v>14783</v>
      </c>
      <c r="H23" s="295" t="s">
        <v>14857</v>
      </c>
      <c r="I23" s="295" t="s">
        <v>14914</v>
      </c>
      <c r="J23" s="295" t="s">
        <v>15310</v>
      </c>
      <c r="K23" s="295" t="s">
        <v>14973</v>
      </c>
      <c r="L23" s="295" t="s">
        <v>15033</v>
      </c>
      <c r="M23" s="295" t="s">
        <v>15100</v>
      </c>
    </row>
    <row r="24" spans="1:13" ht="114.75">
      <c r="A24" s="293" t="str">
        <f t="shared" si="1"/>
        <v>InstructionsA25</v>
      </c>
      <c r="B24" s="293" t="s">
        <v>542</v>
      </c>
      <c r="C24" s="293" t="s">
        <v>1214</v>
      </c>
      <c r="D24" s="295" t="s">
        <v>15313</v>
      </c>
      <c r="E24" s="295" t="s">
        <v>14491</v>
      </c>
      <c r="F24" s="346"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0"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5"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0"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6"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6" t="s">
        <v>14604</v>
      </c>
      <c r="G29" s="295" t="s">
        <v>14787</v>
      </c>
      <c r="H29" s="295" t="s">
        <v>14862</v>
      </c>
      <c r="I29" s="295" t="s">
        <v>15437</v>
      </c>
      <c r="J29" s="295" t="s">
        <v>15316</v>
      </c>
      <c r="K29" s="295" t="s">
        <v>14978</v>
      </c>
      <c r="L29" s="295" t="s">
        <v>15038</v>
      </c>
      <c r="M29" s="295" t="s">
        <v>15106</v>
      </c>
    </row>
    <row r="30" spans="1:13" ht="216.75">
      <c r="A30" s="293" t="str">
        <f t="shared" si="3"/>
        <v>InstructionsA31</v>
      </c>
      <c r="B30" s="293" t="s">
        <v>542</v>
      </c>
      <c r="C30" s="293" t="s">
        <v>1218</v>
      </c>
      <c r="D30" s="295" t="s">
        <v>14362</v>
      </c>
      <c r="E30" s="327" t="s">
        <v>14496</v>
      </c>
      <c r="F30" s="346"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4"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4" t="s">
        <v>14607</v>
      </c>
      <c r="G32" s="306" t="s">
        <v>14790</v>
      </c>
      <c r="H32" s="302" t="s">
        <v>14367</v>
      </c>
      <c r="I32" s="290" t="s">
        <v>14368</v>
      </c>
      <c r="J32" s="290" t="s">
        <v>14369</v>
      </c>
      <c r="K32" s="303" t="s">
        <v>14370</v>
      </c>
      <c r="L32" s="304" t="s">
        <v>15041</v>
      </c>
      <c r="M32" s="290" t="s">
        <v>14371</v>
      </c>
    </row>
    <row r="33" spans="1:13" ht="148.5">
      <c r="A33" s="293" t="str">
        <f t="shared" si="3"/>
        <v>InstructionsA34</v>
      </c>
      <c r="B33" s="293" t="s">
        <v>542</v>
      </c>
      <c r="C33" s="293" t="s">
        <v>1221</v>
      </c>
      <c r="D33" s="295" t="s">
        <v>14372</v>
      </c>
      <c r="E33" s="329" t="s">
        <v>14373</v>
      </c>
      <c r="F33" s="344"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5"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4"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5"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5"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5"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0" t="s">
        <v>14613</v>
      </c>
      <c r="G39" s="290" t="s">
        <v>14796</v>
      </c>
      <c r="H39" s="290" t="s">
        <v>14868</v>
      </c>
      <c r="I39" s="290" t="s">
        <v>14922</v>
      </c>
      <c r="J39" s="290" t="s">
        <v>14391</v>
      </c>
      <c r="K39" s="303" t="s">
        <v>14984</v>
      </c>
      <c r="L39" s="304" t="s">
        <v>15046</v>
      </c>
      <c r="M39" s="290" t="s">
        <v>15112</v>
      </c>
    </row>
    <row r="40" spans="1:13" ht="399">
      <c r="A40" s="293" t="str">
        <f t="shared" si="3"/>
        <v>InstructionsA42</v>
      </c>
      <c r="B40" s="293" t="s">
        <v>542</v>
      </c>
      <c r="C40" s="293" t="s">
        <v>1225</v>
      </c>
      <c r="D40" s="293" t="s">
        <v>15452</v>
      </c>
      <c r="E40" s="293" t="s">
        <v>14503</v>
      </c>
      <c r="F40" s="345" t="s">
        <v>15451</v>
      </c>
      <c r="G40" s="293" t="s">
        <v>15453</v>
      </c>
      <c r="H40" s="293" t="s">
        <v>15454</v>
      </c>
      <c r="I40" s="293" t="s">
        <v>15459</v>
      </c>
      <c r="J40" s="293" t="s">
        <v>15458</v>
      </c>
      <c r="K40" s="293" t="s">
        <v>15455</v>
      </c>
      <c r="L40" s="293" t="s">
        <v>15457</v>
      </c>
      <c r="M40" s="293" t="s">
        <v>15456</v>
      </c>
    </row>
    <row r="41" spans="1:13" ht="243">
      <c r="A41" s="293" t="str">
        <f t="shared" si="3"/>
        <v>InstructionsA43</v>
      </c>
      <c r="B41" s="293" t="s">
        <v>542</v>
      </c>
      <c r="C41" s="293" t="s">
        <v>1226</v>
      </c>
      <c r="D41" s="295" t="s">
        <v>14392</v>
      </c>
      <c r="E41" s="329" t="s">
        <v>14504</v>
      </c>
      <c r="F41" s="340" t="s">
        <v>14614</v>
      </c>
      <c r="G41" s="290" t="s">
        <v>14797</v>
      </c>
      <c r="H41" s="302" t="s">
        <v>14869</v>
      </c>
      <c r="I41" s="290" t="s">
        <v>14923</v>
      </c>
      <c r="J41" s="290" t="s">
        <v>14393</v>
      </c>
      <c r="K41" s="303" t="s">
        <v>14985</v>
      </c>
      <c r="L41" s="304" t="s">
        <v>15047</v>
      </c>
      <c r="M41" s="290" t="s">
        <v>15113</v>
      </c>
    </row>
    <row r="42" spans="1:13" ht="210">
      <c r="A42" s="293" t="str">
        <f t="shared" si="3"/>
        <v>InstructionsA44</v>
      </c>
      <c r="B42" s="293" t="s">
        <v>542</v>
      </c>
      <c r="C42" s="293" t="s">
        <v>1227</v>
      </c>
      <c r="D42" s="293" t="s">
        <v>14394</v>
      </c>
      <c r="E42" s="329" t="s">
        <v>14505</v>
      </c>
      <c r="F42" s="340" t="s">
        <v>14615</v>
      </c>
      <c r="G42" s="290" t="s">
        <v>14798</v>
      </c>
      <c r="H42" s="302" t="s">
        <v>14870</v>
      </c>
      <c r="I42" s="290" t="s">
        <v>14924</v>
      </c>
      <c r="J42" s="290" t="s">
        <v>14395</v>
      </c>
      <c r="K42" s="303" t="s">
        <v>14986</v>
      </c>
      <c r="L42" s="304" t="s">
        <v>15048</v>
      </c>
      <c r="M42" s="290" t="s">
        <v>15114</v>
      </c>
    </row>
    <row r="43" spans="1:13" ht="105">
      <c r="A43" s="293" t="str">
        <f t="shared" si="3"/>
        <v>InstructionsA45</v>
      </c>
      <c r="B43" s="293" t="s">
        <v>542</v>
      </c>
      <c r="C43" s="293" t="s">
        <v>1228</v>
      </c>
      <c r="D43" s="293" t="s">
        <v>14396</v>
      </c>
      <c r="E43" s="329" t="s">
        <v>14397</v>
      </c>
      <c r="F43" s="340"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5"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5"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5" t="s">
        <v>14619</v>
      </c>
      <c r="G46" s="293" t="s">
        <v>1194</v>
      </c>
      <c r="H46" s="293" t="s">
        <v>445</v>
      </c>
      <c r="I46" s="293" t="s">
        <v>298</v>
      </c>
      <c r="J46" s="293" t="s">
        <v>1199</v>
      </c>
      <c r="K46" s="287" t="s">
        <v>193</v>
      </c>
      <c r="L46" s="300" t="s">
        <v>608</v>
      </c>
      <c r="M46" s="293" t="s">
        <v>15118</v>
      </c>
    </row>
    <row r="47" spans="1:13" ht="94.5">
      <c r="A47" s="293" t="str">
        <f t="shared" si="3"/>
        <v>InstructionsA50</v>
      </c>
      <c r="B47" s="293" t="s">
        <v>542</v>
      </c>
      <c r="C47" s="293" t="s">
        <v>1231</v>
      </c>
      <c r="D47" s="293" t="s">
        <v>12752</v>
      </c>
      <c r="E47" s="329" t="s">
        <v>14507</v>
      </c>
      <c r="F47" s="340"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5"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5" t="s">
        <v>14622</v>
      </c>
      <c r="G49" s="293" t="s">
        <v>2504</v>
      </c>
      <c r="H49" s="293" t="s">
        <v>2505</v>
      </c>
      <c r="I49" s="293" t="s">
        <v>14929</v>
      </c>
      <c r="J49" s="293" t="s">
        <v>2506</v>
      </c>
      <c r="K49" s="287" t="s">
        <v>14991</v>
      </c>
      <c r="L49" s="300" t="s">
        <v>2507</v>
      </c>
      <c r="M49" s="293" t="s">
        <v>2508</v>
      </c>
    </row>
    <row r="50" spans="1:13" ht="175.5">
      <c r="A50" s="293" t="str">
        <f t="shared" si="4"/>
        <v>InstructionsA53</v>
      </c>
      <c r="B50" s="293" t="s">
        <v>542</v>
      </c>
      <c r="C50" s="293" t="s">
        <v>1234</v>
      </c>
      <c r="D50" s="293" t="s">
        <v>12751</v>
      </c>
      <c r="E50" s="329" t="s">
        <v>13650</v>
      </c>
      <c r="F50" s="340"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5"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5"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5"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5"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6"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6"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6" t="s">
        <v>14630</v>
      </c>
      <c r="G57" s="295" t="s">
        <v>2543</v>
      </c>
      <c r="H57" s="295" t="s">
        <v>2544</v>
      </c>
      <c r="I57" s="295" t="s">
        <v>2545</v>
      </c>
      <c r="J57" s="295" t="s">
        <v>2546</v>
      </c>
      <c r="K57" s="289" t="s">
        <v>2547</v>
      </c>
      <c r="L57" s="301" t="s">
        <v>2548</v>
      </c>
      <c r="M57" s="295" t="s">
        <v>2549</v>
      </c>
    </row>
    <row r="58" spans="1:13" ht="370.5">
      <c r="A58" s="293" t="str">
        <f t="shared" si="4"/>
        <v>InstructionsA61</v>
      </c>
      <c r="B58" s="293" t="s">
        <v>542</v>
      </c>
      <c r="C58" s="293" t="s">
        <v>1241</v>
      </c>
      <c r="D58" s="293" t="s">
        <v>13488</v>
      </c>
      <c r="E58" s="293" t="s">
        <v>14514</v>
      </c>
      <c r="F58" s="345"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5"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5"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5" t="s">
        <v>14633</v>
      </c>
      <c r="G61" s="293" t="s">
        <v>14807</v>
      </c>
      <c r="H61" s="293" t="s">
        <v>14877</v>
      </c>
      <c r="I61" s="293" t="s">
        <v>15439</v>
      </c>
      <c r="J61" s="293" t="s">
        <v>13807</v>
      </c>
      <c r="K61" s="287" t="s">
        <v>14995</v>
      </c>
      <c r="L61" s="300" t="s">
        <v>15056</v>
      </c>
      <c r="M61" s="293" t="s">
        <v>15123</v>
      </c>
    </row>
    <row r="62" spans="1:13" ht="121.5">
      <c r="A62" s="293" t="str">
        <f t="shared" si="4"/>
        <v>InstructionsA65</v>
      </c>
      <c r="B62" s="293" t="s">
        <v>542</v>
      </c>
      <c r="C62" s="293" t="s">
        <v>654</v>
      </c>
      <c r="D62" s="293" t="s">
        <v>12733</v>
      </c>
      <c r="E62" s="293" t="s">
        <v>14518</v>
      </c>
      <c r="F62" s="340" t="s">
        <v>14634</v>
      </c>
      <c r="G62" s="302" t="s">
        <v>14808</v>
      </c>
      <c r="H62" s="302" t="s">
        <v>14878</v>
      </c>
      <c r="I62" s="302" t="s">
        <v>14932</v>
      </c>
      <c r="J62" s="302" t="s">
        <v>15289</v>
      </c>
      <c r="K62" s="303" t="s">
        <v>14996</v>
      </c>
      <c r="L62" s="304" t="s">
        <v>15057</v>
      </c>
      <c r="M62" s="302" t="s">
        <v>15124</v>
      </c>
    </row>
    <row r="63" spans="1:13" ht="42.75">
      <c r="A63" s="293" t="str">
        <f t="shared" si="4"/>
        <v>InstructionsA66</v>
      </c>
      <c r="B63" s="293" t="s">
        <v>542</v>
      </c>
      <c r="C63" s="293" t="s">
        <v>655</v>
      </c>
      <c r="D63" s="293" t="s">
        <v>656</v>
      </c>
      <c r="E63" s="293" t="s">
        <v>15386</v>
      </c>
      <c r="F63" s="345"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5" t="s">
        <v>14636</v>
      </c>
      <c r="G64" s="293" t="s">
        <v>14809</v>
      </c>
      <c r="H64" s="173" t="s">
        <v>14879</v>
      </c>
      <c r="I64" s="293" t="s">
        <v>14933</v>
      </c>
      <c r="J64" s="293" t="s">
        <v>1386</v>
      </c>
      <c r="K64" s="287" t="s">
        <v>14997</v>
      </c>
      <c r="L64" s="300" t="s">
        <v>15058</v>
      </c>
      <c r="M64" s="293" t="s">
        <v>15126</v>
      </c>
    </row>
    <row r="65" spans="1:15" ht="28.5">
      <c r="A65" s="293" t="str">
        <f t="shared" si="4"/>
        <v>InstructionsA68</v>
      </c>
      <c r="B65" s="293" t="s">
        <v>542</v>
      </c>
      <c r="C65" s="293" t="s">
        <v>2631</v>
      </c>
      <c r="D65" s="293" t="s">
        <v>939</v>
      </c>
      <c r="E65" s="288" t="s">
        <v>13652</v>
      </c>
      <c r="F65" s="345" t="s">
        <v>14637</v>
      </c>
      <c r="G65" s="293" t="s">
        <v>1049</v>
      </c>
      <c r="H65" s="173" t="s">
        <v>344</v>
      </c>
      <c r="I65" s="293" t="s">
        <v>1195</v>
      </c>
      <c r="J65" s="293" t="s">
        <v>1196</v>
      </c>
      <c r="K65" s="287"/>
      <c r="L65" s="300" t="s">
        <v>1279</v>
      </c>
      <c r="M65" s="293" t="s">
        <v>15127</v>
      </c>
    </row>
    <row r="66" spans="1:15" ht="342">
      <c r="A66" s="293" t="str">
        <f t="shared" si="4"/>
        <v>InstructionsA69</v>
      </c>
      <c r="B66" s="293" t="s">
        <v>542</v>
      </c>
      <c r="C66" s="293" t="s">
        <v>661</v>
      </c>
      <c r="D66" s="293" t="s">
        <v>13496</v>
      </c>
      <c r="E66" s="328" t="s">
        <v>13653</v>
      </c>
      <c r="F66" s="345" t="s">
        <v>14638</v>
      </c>
      <c r="G66" s="260" t="s">
        <v>13839</v>
      </c>
      <c r="H66" s="173" t="s">
        <v>13777</v>
      </c>
      <c r="I66" s="293" t="s">
        <v>14934</v>
      </c>
      <c r="J66" s="293" t="s">
        <v>13808</v>
      </c>
      <c r="K66" s="287" t="s">
        <v>13622</v>
      </c>
      <c r="L66" s="300" t="s">
        <v>13785</v>
      </c>
      <c r="M66" s="293" t="s">
        <v>13769</v>
      </c>
    </row>
    <row r="67" spans="1:15" ht="171">
      <c r="A67" s="293" t="str">
        <f t="shared" si="4"/>
        <v>InstructionsA70</v>
      </c>
      <c r="B67" s="293" t="s">
        <v>542</v>
      </c>
      <c r="C67" s="293" t="s">
        <v>2632</v>
      </c>
      <c r="D67" s="293" t="s">
        <v>13493</v>
      </c>
      <c r="E67" s="328" t="s">
        <v>14520</v>
      </c>
      <c r="F67" s="345" t="s">
        <v>14639</v>
      </c>
      <c r="G67" s="293" t="s">
        <v>14810</v>
      </c>
      <c r="H67" s="173" t="s">
        <v>13778</v>
      </c>
      <c r="I67" s="293" t="s">
        <v>13825</v>
      </c>
      <c r="J67" s="293" t="s">
        <v>13809</v>
      </c>
      <c r="K67" s="287" t="s">
        <v>13623</v>
      </c>
      <c r="L67" s="300" t="s">
        <v>13786</v>
      </c>
      <c r="M67" s="293" t="s">
        <v>13770</v>
      </c>
    </row>
    <row r="68" spans="1:15" ht="156.75">
      <c r="A68" s="293" t="str">
        <f t="shared" si="4"/>
        <v>InstructionsA71</v>
      </c>
      <c r="B68" s="293" t="s">
        <v>542</v>
      </c>
      <c r="C68" s="293" t="s">
        <v>662</v>
      </c>
      <c r="D68" s="293" t="s">
        <v>13494</v>
      </c>
      <c r="E68" s="328" t="s">
        <v>14521</v>
      </c>
      <c r="F68" s="345" t="s">
        <v>14640</v>
      </c>
      <c r="G68" s="260" t="s">
        <v>13840</v>
      </c>
      <c r="H68" s="173" t="s">
        <v>13779</v>
      </c>
      <c r="I68" s="293" t="s">
        <v>13826</v>
      </c>
      <c r="J68" s="293" t="s">
        <v>13810</v>
      </c>
      <c r="K68" s="287" t="s">
        <v>13624</v>
      </c>
      <c r="L68" s="300" t="s">
        <v>13787</v>
      </c>
      <c r="M68" s="293" t="s">
        <v>13771</v>
      </c>
    </row>
    <row r="69" spans="1:15" ht="327.75">
      <c r="A69" s="293" t="str">
        <f t="shared" si="4"/>
        <v>InstructionsA72</v>
      </c>
      <c r="B69" s="293" t="s">
        <v>542</v>
      </c>
      <c r="C69" s="293" t="s">
        <v>663</v>
      </c>
      <c r="D69" s="293" t="s">
        <v>13495</v>
      </c>
      <c r="E69" s="328" t="s">
        <v>14522</v>
      </c>
      <c r="F69" s="345"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5"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5"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5"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5"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5"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5"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5"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5"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5"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5"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5"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5"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5"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5"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5"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5"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5"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5"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5"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5"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5"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5"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5"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5"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5"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5"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5"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5"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5"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5"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5"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5"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5"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5"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5"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5" t="s">
        <v>15483</v>
      </c>
      <c r="G105" s="293" t="s">
        <v>15318</v>
      </c>
      <c r="H105" s="293" t="s">
        <v>15320</v>
      </c>
      <c r="I105" s="293" t="s">
        <v>15322</v>
      </c>
      <c r="J105" s="293" t="s">
        <v>15319</v>
      </c>
      <c r="K105" s="287" t="s">
        <v>15321</v>
      </c>
      <c r="L105" s="300" t="s">
        <v>15323</v>
      </c>
      <c r="M105" s="293" t="s">
        <v>15324</v>
      </c>
    </row>
    <row r="106" spans="1:14" ht="178.5">
      <c r="A106" s="293" t="str">
        <f t="shared" ref="A106:A137" si="9">B106&amp;C106</f>
        <v>DefinitionsC6</v>
      </c>
      <c r="B106" s="293" t="s">
        <v>971</v>
      </c>
      <c r="C106" s="293" t="s">
        <v>996</v>
      </c>
      <c r="D106" s="295" t="s">
        <v>1145</v>
      </c>
      <c r="E106" s="327" t="s">
        <v>13671</v>
      </c>
      <c r="F106" s="346" t="s">
        <v>14673</v>
      </c>
      <c r="G106" s="295" t="s">
        <v>14816</v>
      </c>
      <c r="H106" s="295" t="s">
        <v>14881</v>
      </c>
      <c r="I106" s="295" t="s">
        <v>14936</v>
      </c>
      <c r="J106" s="295" t="s">
        <v>1388</v>
      </c>
      <c r="K106" s="289" t="s">
        <v>14999</v>
      </c>
      <c r="L106" s="301" t="s">
        <v>15060</v>
      </c>
      <c r="M106" s="295" t="s">
        <v>15136</v>
      </c>
    </row>
    <row r="107" spans="1:14" ht="142.5">
      <c r="A107" s="293" t="str">
        <f t="shared" si="9"/>
        <v>DefinitionsC7</v>
      </c>
      <c r="B107" s="293" t="s">
        <v>971</v>
      </c>
      <c r="C107" s="293" t="s">
        <v>997</v>
      </c>
      <c r="D107" s="293" t="s">
        <v>1028</v>
      </c>
      <c r="E107" s="257" t="s">
        <v>13672</v>
      </c>
      <c r="F107" s="345" t="s">
        <v>15484</v>
      </c>
      <c r="G107" s="293" t="s">
        <v>375</v>
      </c>
      <c r="H107" s="293" t="s">
        <v>14882</v>
      </c>
      <c r="I107" s="293" t="s">
        <v>100</v>
      </c>
      <c r="J107" s="293" t="s">
        <v>1389</v>
      </c>
      <c r="K107" s="287" t="s">
        <v>323</v>
      </c>
      <c r="L107" s="300" t="s">
        <v>13790</v>
      </c>
      <c r="M107" s="293" t="s">
        <v>13525</v>
      </c>
    </row>
    <row r="108" spans="1:14" ht="171">
      <c r="A108" s="293" t="str">
        <f t="shared" si="9"/>
        <v>DefinitionsC8</v>
      </c>
      <c r="B108" s="293" t="s">
        <v>971</v>
      </c>
      <c r="C108" s="293" t="s">
        <v>998</v>
      </c>
      <c r="D108" s="293" t="s">
        <v>1030</v>
      </c>
      <c r="E108" s="257" t="s">
        <v>13673</v>
      </c>
      <c r="F108" s="345"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5"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5" t="s">
        <v>14676</v>
      </c>
      <c r="G110" s="293" t="s">
        <v>1098</v>
      </c>
      <c r="H110" s="293" t="s">
        <v>1099</v>
      </c>
      <c r="I110" s="293" t="s">
        <v>1100</v>
      </c>
      <c r="J110" s="293" t="s">
        <v>1101</v>
      </c>
      <c r="K110" s="287" t="s">
        <v>326</v>
      </c>
      <c r="L110" s="300" t="s">
        <v>623</v>
      </c>
      <c r="M110" s="293" t="s">
        <v>13528</v>
      </c>
    </row>
    <row r="111" spans="1:14" ht="142.5">
      <c r="A111" s="293" t="str">
        <f t="shared" si="9"/>
        <v>DefinitionsC11</v>
      </c>
      <c r="B111" s="293" t="s">
        <v>971</v>
      </c>
      <c r="C111" s="293" t="s">
        <v>1001</v>
      </c>
      <c r="D111" s="293" t="s">
        <v>1031</v>
      </c>
      <c r="E111" s="328" t="s">
        <v>13675</v>
      </c>
      <c r="F111" s="345" t="s">
        <v>14677</v>
      </c>
      <c r="G111" s="293" t="s">
        <v>14818</v>
      </c>
      <c r="H111" s="293" t="s">
        <v>14884</v>
      </c>
      <c r="I111" s="293" t="s">
        <v>14938</v>
      </c>
      <c r="J111" s="293" t="s">
        <v>1391</v>
      </c>
      <c r="K111" s="287" t="s">
        <v>327</v>
      </c>
      <c r="L111" s="300" t="s">
        <v>13791</v>
      </c>
      <c r="M111" s="293" t="s">
        <v>13529</v>
      </c>
    </row>
    <row r="112" spans="1:14" ht="114">
      <c r="A112" s="293" t="str">
        <f t="shared" si="9"/>
        <v>DefinitionsC12</v>
      </c>
      <c r="B112" s="293" t="s">
        <v>971</v>
      </c>
      <c r="C112" s="293" t="s">
        <v>1002</v>
      </c>
      <c r="D112" s="293" t="s">
        <v>13504</v>
      </c>
      <c r="E112" s="328" t="s">
        <v>13676</v>
      </c>
      <c r="F112" s="345"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5"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5"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5" t="s">
        <v>14680</v>
      </c>
      <c r="G115" s="293" t="s">
        <v>552</v>
      </c>
      <c r="H115" s="293" t="s">
        <v>281</v>
      </c>
      <c r="I115" s="293" t="s">
        <v>212</v>
      </c>
      <c r="J115" s="293" t="s">
        <v>13815</v>
      </c>
      <c r="K115" s="287" t="s">
        <v>328</v>
      </c>
      <c r="L115" s="300" t="s">
        <v>171</v>
      </c>
      <c r="M115" s="293" t="s">
        <v>13531</v>
      </c>
    </row>
    <row r="116" spans="1:13" ht="128.25">
      <c r="A116" s="293" t="str">
        <f t="shared" si="9"/>
        <v>DefinitionsC16</v>
      </c>
      <c r="B116" s="293" t="s">
        <v>971</v>
      </c>
      <c r="C116" s="293" t="s">
        <v>1006</v>
      </c>
      <c r="D116" s="293" t="s">
        <v>1038</v>
      </c>
      <c r="E116" s="257" t="s">
        <v>13679</v>
      </c>
      <c r="F116" s="345" t="s">
        <v>14681</v>
      </c>
      <c r="G116" s="293" t="s">
        <v>553</v>
      </c>
      <c r="H116" s="293" t="s">
        <v>282</v>
      </c>
      <c r="I116" s="293" t="s">
        <v>213</v>
      </c>
      <c r="J116" s="293" t="s">
        <v>1371</v>
      </c>
      <c r="K116" s="287" t="s">
        <v>329</v>
      </c>
      <c r="L116" s="300" t="s">
        <v>172</v>
      </c>
      <c r="M116" s="293" t="s">
        <v>13532</v>
      </c>
    </row>
    <row r="117" spans="1:13" ht="342">
      <c r="A117" s="293" t="str">
        <f t="shared" si="9"/>
        <v>DefinitionsC17</v>
      </c>
      <c r="B117" s="293" t="s">
        <v>971</v>
      </c>
      <c r="C117" s="293" t="s">
        <v>1007</v>
      </c>
      <c r="D117" s="293" t="s">
        <v>1040</v>
      </c>
      <c r="E117" s="328" t="s">
        <v>14525</v>
      </c>
      <c r="F117" s="345"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5"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8"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8"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8" t="s">
        <v>14686</v>
      </c>
      <c r="G121" s="293" t="s">
        <v>14822</v>
      </c>
      <c r="H121" s="293" t="s">
        <v>13502</v>
      </c>
      <c r="I121" s="293" t="s">
        <v>13502</v>
      </c>
      <c r="J121" s="293" t="s">
        <v>13502</v>
      </c>
      <c r="K121" s="287" t="s">
        <v>13502</v>
      </c>
      <c r="L121" s="300" t="s">
        <v>13502</v>
      </c>
      <c r="M121" s="293" t="s">
        <v>13502</v>
      </c>
    </row>
    <row r="122" spans="1:13" ht="156.75">
      <c r="A122" s="293" t="str">
        <f t="shared" si="9"/>
        <v>DefinitionsC22</v>
      </c>
      <c r="B122" s="293" t="s">
        <v>971</v>
      </c>
      <c r="C122" s="293" t="s">
        <v>1012</v>
      </c>
      <c r="D122" s="293" t="s">
        <v>590</v>
      </c>
      <c r="E122" s="328" t="s">
        <v>13681</v>
      </c>
      <c r="F122" s="338"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5" t="s">
        <v>14688</v>
      </c>
      <c r="G123" s="293" t="s">
        <v>14823</v>
      </c>
      <c r="H123" s="293" t="s">
        <v>13781</v>
      </c>
      <c r="I123" s="293" t="s">
        <v>13828</v>
      </c>
      <c r="J123" s="293" t="s">
        <v>13816</v>
      </c>
      <c r="K123" s="287" t="s">
        <v>13629</v>
      </c>
      <c r="L123" s="300" t="s">
        <v>15064</v>
      </c>
      <c r="M123" s="293" t="s">
        <v>13775</v>
      </c>
    </row>
    <row r="124" spans="1:13" ht="285">
      <c r="A124" s="293" t="str">
        <f t="shared" si="9"/>
        <v>DefinitionsC24</v>
      </c>
      <c r="B124" s="293" t="s">
        <v>971</v>
      </c>
      <c r="C124" s="293" t="s">
        <v>585</v>
      </c>
      <c r="D124" s="293" t="s">
        <v>15440</v>
      </c>
      <c r="E124" s="328" t="s">
        <v>13683</v>
      </c>
      <c r="F124" s="345" t="s">
        <v>15463</v>
      </c>
      <c r="G124" s="293" t="s">
        <v>14824</v>
      </c>
      <c r="H124" s="293" t="s">
        <v>15464</v>
      </c>
      <c r="I124" s="293" t="s">
        <v>13829</v>
      </c>
      <c r="J124" s="293" t="s">
        <v>15465</v>
      </c>
      <c r="K124" s="287" t="s">
        <v>15466</v>
      </c>
      <c r="L124" s="300" t="s">
        <v>15467</v>
      </c>
      <c r="M124" s="293" t="s">
        <v>15468</v>
      </c>
    </row>
    <row r="125" spans="1:13" ht="270.75">
      <c r="A125" s="293" t="str">
        <f t="shared" si="9"/>
        <v>DefinitionsC25</v>
      </c>
      <c r="B125" s="293" t="s">
        <v>971</v>
      </c>
      <c r="C125" s="293" t="s">
        <v>586</v>
      </c>
      <c r="D125" s="293" t="s">
        <v>13500</v>
      </c>
      <c r="E125" s="328" t="s">
        <v>14527</v>
      </c>
      <c r="F125" s="345"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5"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5"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5"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5"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5" t="s">
        <v>14694</v>
      </c>
      <c r="G130" s="293" t="s">
        <v>14827</v>
      </c>
      <c r="H130" s="173" t="s">
        <v>13605</v>
      </c>
      <c r="I130" s="293" t="s">
        <v>14944</v>
      </c>
      <c r="J130" s="293" t="s">
        <v>13820</v>
      </c>
      <c r="K130" s="287" t="s">
        <v>13606</v>
      </c>
      <c r="L130" s="300" t="s">
        <v>13607</v>
      </c>
      <c r="M130" s="293" t="s">
        <v>13598</v>
      </c>
    </row>
    <row r="131" spans="1:13" ht="199.5">
      <c r="A131" s="293" t="str">
        <f t="shared" si="9"/>
        <v>DefinitionsC31</v>
      </c>
      <c r="B131" s="293" t="s">
        <v>971</v>
      </c>
      <c r="C131" s="293" t="s">
        <v>14387</v>
      </c>
      <c r="D131" s="293" t="s">
        <v>13509</v>
      </c>
      <c r="E131" s="328" t="s">
        <v>13688</v>
      </c>
      <c r="F131" s="345"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5"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5"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5"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5"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5" t="s">
        <v>14696</v>
      </c>
      <c r="G136" s="293" t="s">
        <v>893</v>
      </c>
      <c r="H136" s="293" t="s">
        <v>377</v>
      </c>
      <c r="I136" s="293" t="s">
        <v>219</v>
      </c>
      <c r="J136" s="293" t="s">
        <v>1375</v>
      </c>
      <c r="K136" s="287" t="s">
        <v>334</v>
      </c>
      <c r="L136" s="300" t="s">
        <v>454</v>
      </c>
      <c r="M136" s="293" t="s">
        <v>15144</v>
      </c>
    </row>
    <row r="137" spans="1:13" ht="54">
      <c r="A137" s="293" t="str">
        <f t="shared" si="9"/>
        <v>DeclarationB6</v>
      </c>
      <c r="B137" s="293" t="s">
        <v>1014</v>
      </c>
      <c r="C137" s="293" t="s">
        <v>975</v>
      </c>
      <c r="D137" s="293" t="s">
        <v>12719</v>
      </c>
      <c r="E137" s="293" t="s">
        <v>14529</v>
      </c>
      <c r="F137" s="340"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5"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5"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5"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5"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5"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5"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5"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5"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5"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5"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5"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5"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5"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5"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5"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5"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5"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4"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5"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5" t="s">
        <v>14714</v>
      </c>
      <c r="G157" s="293" t="s">
        <v>14401</v>
      </c>
      <c r="H157" s="293" t="s">
        <v>14402</v>
      </c>
      <c r="I157" s="293" t="s">
        <v>14403</v>
      </c>
      <c r="J157" s="293" t="s">
        <v>14404</v>
      </c>
      <c r="K157" s="287" t="s">
        <v>14405</v>
      </c>
      <c r="L157" s="300" t="s">
        <v>14406</v>
      </c>
      <c r="M157" s="293" t="s">
        <v>14407</v>
      </c>
    </row>
    <row r="158" spans="1:13" ht="40.5">
      <c r="A158" s="293" t="str">
        <f t="shared" si="10"/>
        <v>DeclarationB25</v>
      </c>
      <c r="B158" s="293" t="s">
        <v>1014</v>
      </c>
      <c r="C158" s="293" t="s">
        <v>486</v>
      </c>
      <c r="D158" s="295" t="s">
        <v>12744</v>
      </c>
      <c r="E158" s="258" t="s">
        <v>13707</v>
      </c>
      <c r="F158" s="340"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0"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6"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6"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6"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3" t="s">
        <v>14282</v>
      </c>
      <c r="G163" s="290" t="s">
        <v>14283</v>
      </c>
      <c r="H163" s="290" t="s">
        <v>14284</v>
      </c>
      <c r="I163" s="290" t="s">
        <v>14285</v>
      </c>
      <c r="J163" s="290" t="s">
        <v>14286</v>
      </c>
      <c r="K163" s="303" t="s">
        <v>14287</v>
      </c>
      <c r="L163" s="304" t="s">
        <v>14288</v>
      </c>
      <c r="M163" s="290" t="s">
        <v>14289</v>
      </c>
    </row>
    <row r="164" spans="1:13" ht="30">
      <c r="A164" s="293" t="str">
        <f t="shared" si="10"/>
        <v>DeclarationB61</v>
      </c>
      <c r="B164" s="293" t="s">
        <v>1014</v>
      </c>
      <c r="C164" s="293" t="s">
        <v>1022</v>
      </c>
      <c r="D164" s="295" t="s">
        <v>14290</v>
      </c>
      <c r="E164" s="327" t="s">
        <v>14291</v>
      </c>
      <c r="F164" s="346"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6"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5"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5"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5"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6" t="s">
        <v>15487</v>
      </c>
      <c r="G169" s="295" t="s">
        <v>14311</v>
      </c>
      <c r="H169" s="295" t="s">
        <v>14312</v>
      </c>
      <c r="I169" s="295" t="s">
        <v>14313</v>
      </c>
      <c r="J169" s="295" t="s">
        <v>14314</v>
      </c>
      <c r="K169" s="289" t="s">
        <v>14315</v>
      </c>
      <c r="L169" s="301" t="s">
        <v>14316</v>
      </c>
      <c r="M169" s="295" t="s">
        <v>14317</v>
      </c>
    </row>
    <row r="170" spans="1:13" ht="28.5">
      <c r="A170" s="293" t="str">
        <f t="shared" ref="A170:A205" si="12">B170&amp;C170</f>
        <v>DeclarationB81</v>
      </c>
      <c r="B170" s="293" t="s">
        <v>1014</v>
      </c>
      <c r="C170" s="293" t="s">
        <v>493</v>
      </c>
      <c r="D170" s="295" t="s">
        <v>15327</v>
      </c>
      <c r="E170" s="295" t="s">
        <v>14534</v>
      </c>
      <c r="F170" s="346"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0"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5" t="s">
        <v>15489</v>
      </c>
      <c r="G172" s="293" t="s">
        <v>14329</v>
      </c>
      <c r="H172" s="293" t="s">
        <v>14330</v>
      </c>
      <c r="I172" s="293" t="s">
        <v>14331</v>
      </c>
      <c r="J172" s="293" t="s">
        <v>14332</v>
      </c>
      <c r="K172" s="287" t="s">
        <v>14333</v>
      </c>
      <c r="L172" s="300" t="s">
        <v>14334</v>
      </c>
      <c r="M172" s="293" t="s">
        <v>14335</v>
      </c>
    </row>
    <row r="173" spans="1:13" ht="28.5">
      <c r="A173" s="293" t="str">
        <f t="shared" si="12"/>
        <v>DeclarationB87</v>
      </c>
      <c r="B173" s="293" t="s">
        <v>1014</v>
      </c>
      <c r="C173" s="293" t="s">
        <v>14269</v>
      </c>
      <c r="D173" s="293" t="s">
        <v>14336</v>
      </c>
      <c r="E173" s="328" t="s">
        <v>14337</v>
      </c>
      <c r="F173" s="345"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2" t="s">
        <v>15443</v>
      </c>
      <c r="F174" s="340" t="s">
        <v>15490</v>
      </c>
      <c r="G174" s="332" t="s">
        <v>15444</v>
      </c>
      <c r="H174" s="332" t="s">
        <v>15445</v>
      </c>
      <c r="I174" s="332" t="s">
        <v>15446</v>
      </c>
      <c r="J174" s="332" t="s">
        <v>15447</v>
      </c>
      <c r="K174" s="332" t="s">
        <v>15448</v>
      </c>
      <c r="L174" s="332" t="s">
        <v>15449</v>
      </c>
      <c r="M174" s="332" t="s">
        <v>15450</v>
      </c>
    </row>
    <row r="175" spans="1:13" ht="28.5">
      <c r="A175" s="293" t="str">
        <f t="shared" si="12"/>
        <v>DeclarationD25</v>
      </c>
      <c r="B175" s="293" t="s">
        <v>1014</v>
      </c>
      <c r="C175" s="293" t="s">
        <v>533</v>
      </c>
      <c r="D175" s="293" t="s">
        <v>859</v>
      </c>
      <c r="E175" s="257" t="s">
        <v>885</v>
      </c>
      <c r="F175" s="345"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5"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5"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5"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5"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5"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5"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5"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5"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5"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5"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5"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5"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5"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5"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5"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5"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5"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5"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39">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1"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1"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1"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1"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5"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2"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2"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2"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7"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7"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7"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2"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0"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5"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0"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5"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5"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5"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0"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5"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5"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5"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5"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5"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5"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0"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0"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5"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5"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5"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5"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5"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5"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5"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5"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5"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5"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5"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5"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5"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0"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5"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5"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5"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5"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5"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5"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5"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5"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5"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5"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5"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5"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5"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5"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5"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5"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5" t="s">
        <v>1939</v>
      </c>
      <c r="G252" s="293" t="s">
        <v>1940</v>
      </c>
      <c r="H252" s="293" t="s">
        <v>1941</v>
      </c>
      <c r="I252" s="293" t="s">
        <v>1942</v>
      </c>
      <c r="J252" s="293" t="s">
        <v>1943</v>
      </c>
      <c r="K252" s="296" t="s">
        <v>1944</v>
      </c>
      <c r="L252" s="308" t="s">
        <v>1945</v>
      </c>
      <c r="M252" s="293" t="s">
        <v>15218</v>
      </c>
    </row>
    <row r="253" spans="1:13" ht="28.5">
      <c r="A253" s="293" t="s">
        <v>1486</v>
      </c>
      <c r="B253" s="293" t="s">
        <v>1263</v>
      </c>
      <c r="C253" s="293" t="s">
        <v>1468</v>
      </c>
      <c r="D253" s="293" t="s">
        <v>1556</v>
      </c>
      <c r="E253" s="293" t="s">
        <v>14555</v>
      </c>
      <c r="F253" s="345"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5"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5" t="s">
        <v>1960</v>
      </c>
      <c r="G255" s="293" t="s">
        <v>1961</v>
      </c>
      <c r="H255" s="293" t="s">
        <v>1962</v>
      </c>
      <c r="I255" s="293" t="s">
        <v>1963</v>
      </c>
      <c r="J255" s="293" t="s">
        <v>1964</v>
      </c>
      <c r="K255" s="296" t="s">
        <v>1965</v>
      </c>
      <c r="L255" s="308" t="s">
        <v>1966</v>
      </c>
      <c r="M255" s="293" t="s">
        <v>15221</v>
      </c>
    </row>
    <row r="256" spans="1:13" ht="28.5">
      <c r="A256" s="293" t="s">
        <v>1540</v>
      </c>
      <c r="B256" s="293" t="s">
        <v>1263</v>
      </c>
      <c r="C256" s="293" t="s">
        <v>1471</v>
      </c>
      <c r="D256" s="293" t="s">
        <v>2593</v>
      </c>
      <c r="E256" s="293" t="s">
        <v>14558</v>
      </c>
      <c r="F256" s="345"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5"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5" t="s">
        <v>1974</v>
      </c>
      <c r="G258" s="293" t="s">
        <v>1975</v>
      </c>
      <c r="H258" s="293" t="s">
        <v>1976</v>
      </c>
      <c r="I258" s="293" t="s">
        <v>1977</v>
      </c>
      <c r="J258" s="293" t="s">
        <v>1978</v>
      </c>
      <c r="K258" s="296" t="s">
        <v>1979</v>
      </c>
      <c r="L258" s="308" t="s">
        <v>1980</v>
      </c>
      <c r="M258" s="293" t="s">
        <v>15223</v>
      </c>
    </row>
    <row r="259" spans="1:13" ht="42.75">
      <c r="A259" s="293" t="s">
        <v>1543</v>
      </c>
      <c r="B259" s="293" t="s">
        <v>1263</v>
      </c>
      <c r="C259" s="293" t="s">
        <v>1474</v>
      </c>
      <c r="D259" s="293" t="s">
        <v>1514</v>
      </c>
      <c r="E259" s="293" t="s">
        <v>14561</v>
      </c>
      <c r="F259" s="345" t="s">
        <v>2601</v>
      </c>
      <c r="G259" s="293" t="s">
        <v>2605</v>
      </c>
      <c r="H259" s="293" t="s">
        <v>2606</v>
      </c>
      <c r="I259" s="293" t="s">
        <v>14963</v>
      </c>
      <c r="J259" s="293" t="s">
        <v>2612</v>
      </c>
      <c r="K259" s="296" t="s">
        <v>2617</v>
      </c>
      <c r="L259" s="308" t="s">
        <v>2618</v>
      </c>
      <c r="M259" s="293" t="s">
        <v>2623</v>
      </c>
    </row>
    <row r="260" spans="1:13" ht="28.5">
      <c r="A260" s="293" t="s">
        <v>1544</v>
      </c>
      <c r="B260" s="293" t="s">
        <v>1263</v>
      </c>
      <c r="C260" s="293" t="s">
        <v>1475</v>
      </c>
      <c r="D260" s="293" t="s">
        <v>1487</v>
      </c>
      <c r="E260" s="293" t="s">
        <v>14562</v>
      </c>
      <c r="F260" s="345"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5"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5"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5"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5"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5"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5"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5"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5"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5"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5"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5"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5"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5"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5"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5"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5"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5"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6"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5"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5"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5"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5"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5"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5"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5"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5"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5"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5"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5"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5"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5"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5"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5" t="s">
        <v>15495</v>
      </c>
      <c r="G293" s="293" t="s">
        <v>14849</v>
      </c>
      <c r="H293" s="293" t="s">
        <v>14906</v>
      </c>
      <c r="I293" s="293" t="s">
        <v>14964</v>
      </c>
      <c r="J293" s="293" t="s">
        <v>15306</v>
      </c>
      <c r="K293" s="293" t="s">
        <v>15022</v>
      </c>
      <c r="L293" s="293" t="s">
        <v>15076</v>
      </c>
      <c r="M293" s="293" t="s">
        <v>15253</v>
      </c>
    </row>
    <row r="294" spans="1:13" ht="57">
      <c r="A294" s="293" t="s">
        <v>14479</v>
      </c>
      <c r="B294" s="293" t="s">
        <v>1263</v>
      </c>
      <c r="C294" s="293" t="s">
        <v>1535</v>
      </c>
      <c r="D294" s="293" t="s">
        <v>15309</v>
      </c>
      <c r="E294" s="293" t="s">
        <v>14576</v>
      </c>
      <c r="F294" s="345"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5"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5"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5"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5"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5" t="s">
        <v>15500</v>
      </c>
      <c r="G299" s="293" t="s">
        <v>2180</v>
      </c>
      <c r="H299" s="293" t="s">
        <v>2181</v>
      </c>
      <c r="I299" s="293" t="s">
        <v>2182</v>
      </c>
      <c r="J299" s="293" t="s">
        <v>2183</v>
      </c>
      <c r="K299" s="296" t="s">
        <v>2184</v>
      </c>
      <c r="L299" s="308" t="s">
        <v>2185</v>
      </c>
      <c r="M299" s="293" t="s">
        <v>15255</v>
      </c>
    </row>
    <row r="300" spans="1:13" ht="42.75">
      <c r="A300" s="293" t="s">
        <v>14460</v>
      </c>
      <c r="B300" s="293" t="s">
        <v>1263</v>
      </c>
      <c r="C300" s="293" t="s">
        <v>1539</v>
      </c>
      <c r="D300" s="293" t="s">
        <v>15358</v>
      </c>
      <c r="E300" s="257" t="s">
        <v>15359</v>
      </c>
      <c r="F300" s="345" t="s">
        <v>15360</v>
      </c>
      <c r="G300" s="293" t="s">
        <v>15361</v>
      </c>
      <c r="H300" s="293" t="s">
        <v>15362</v>
      </c>
      <c r="I300" s="293" t="s">
        <v>15363</v>
      </c>
      <c r="J300" s="293" t="s">
        <v>15364</v>
      </c>
      <c r="K300" s="296" t="s">
        <v>15365</v>
      </c>
      <c r="L300" s="308" t="s">
        <v>15366</v>
      </c>
      <c r="M300" s="293" t="s">
        <v>15367</v>
      </c>
    </row>
    <row r="301" spans="1:13" ht="42.75">
      <c r="A301" s="293" t="s">
        <v>14461</v>
      </c>
      <c r="B301" s="293" t="s">
        <v>1263</v>
      </c>
      <c r="C301" s="293" t="s">
        <v>14472</v>
      </c>
      <c r="D301" s="293" t="s">
        <v>15368</v>
      </c>
      <c r="E301" s="257" t="s">
        <v>15369</v>
      </c>
      <c r="F301" s="345" t="s">
        <v>15501</v>
      </c>
      <c r="G301" s="293" t="s">
        <v>15370</v>
      </c>
      <c r="H301" s="293" t="s">
        <v>15371</v>
      </c>
      <c r="I301" s="293" t="s">
        <v>15372</v>
      </c>
      <c r="J301" s="293" t="s">
        <v>15373</v>
      </c>
      <c r="K301" s="296" t="s">
        <v>15374</v>
      </c>
      <c r="L301" s="308" t="s">
        <v>15375</v>
      </c>
      <c r="M301" s="293" t="s">
        <v>15376</v>
      </c>
    </row>
    <row r="302" spans="1:13" ht="42.75">
      <c r="A302" s="293" t="s">
        <v>14480</v>
      </c>
      <c r="B302" s="293" t="s">
        <v>1263</v>
      </c>
      <c r="C302" s="293" t="s">
        <v>1565</v>
      </c>
      <c r="D302" s="293" t="s">
        <v>15377</v>
      </c>
      <c r="E302" s="293" t="s">
        <v>15378</v>
      </c>
      <c r="F302" s="345"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5"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5"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5"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5"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5"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5"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5"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5"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5"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5"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5"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5"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5"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5"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5"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8.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71.25">
      <c r="A326" s="293" t="s">
        <v>858</v>
      </c>
      <c r="D326" s="293" t="s">
        <v>304</v>
      </c>
      <c r="E326" s="257" t="s">
        <v>13767</v>
      </c>
      <c r="F326" s="333"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dcmitype/"/>
    <ds:schemaRef ds:uri="http://purl.org/dc/elements/1.1/"/>
    <ds:schemaRef ds:uri="http://www.w3.org/XML/1998/namespace"/>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060324a1-f66f-4c36-a8ec-beadbf2f4219"/>
    <ds:schemaRef ds:uri="http://schemas.microsoft.com/office/2006/metadata/propertie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2020-06-05T05:38:27Z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